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ominique.lazarre\Documents\IPTs\SAtlantic\SG Amendment 55 - Scamp_Yellowmouth\Decision Tool\"/>
    </mc:Choice>
  </mc:AlternateContent>
  <workbookProtection workbookAlgorithmName="SHA-512" workbookHashValue="syb9N3RhaMcDLqimHVbivRPw306cR14NekDfGdYD+I0fwKcdqqDXUEPCpv7LCnS4Sgq5gk5eGufS1jPyaAKWYg==" workbookSaltValue="ic+QjjY0bIdYIvJ1hqi1Og==" workbookSpinCount="100000" lockStructure="1"/>
  <bookViews>
    <workbookView xWindow="396" yWindow="408" windowWidth="15480" windowHeight="5076"/>
  </bookViews>
  <sheets>
    <sheet name="Model" sheetId="4" r:id="rId1"/>
    <sheet name="Inputs" sheetId="6" state="hidden" r:id="rId2"/>
    <sheet name="FigureInputs" sheetId="13" state="hidden" r:id="rId3"/>
    <sheet name="Tool Guide" sheetId="21" state="hidden" r:id="rId4"/>
    <sheet name="ACL" sheetId="9" state="hidden" r:id="rId5"/>
    <sheet name="Landings1" sheetId="5" state="hidden" r:id="rId6"/>
    <sheet name="Daily" sheetId="17" state="hidden" r:id="rId7"/>
    <sheet name="Bag_Limit" sheetId="2" state="hidden" r:id="rId8"/>
    <sheet name="Vessel_Limit" sheetId="3" state="hidden" r:id="rId9"/>
    <sheet name="Blimit_tables" sheetId="19" state="hidden" r:id="rId10"/>
    <sheet name="SL_pooling" sheetId="14" state="hidden" r:id="rId11"/>
    <sheet name="BL_pooling" sheetId="16" state="hidden" r:id="rId12"/>
    <sheet name="Trip Elimination" sheetId="1" state="hidden" r:id="rId13"/>
  </sheets>
  <definedNames>
    <definedName name="ExternalData_1" localSheetId="8">Vessel_Limit!#REF!</definedName>
    <definedName name="ExternalData_2" localSheetId="8">Vessel_Limit!#REF!</definedName>
  </definedNames>
  <calcPr calcId="162913"/>
</workbook>
</file>

<file path=xl/calcChain.xml><?xml version="1.0" encoding="utf-8"?>
<calcChain xmlns="http://schemas.openxmlformats.org/spreadsheetml/2006/main">
  <c r="C59" i="6" l="1"/>
  <c r="D59" i="6"/>
  <c r="E59" i="6"/>
  <c r="F59" i="6"/>
  <c r="G59" i="6"/>
  <c r="H59" i="6"/>
  <c r="I59" i="6"/>
  <c r="J59" i="6"/>
  <c r="K59" i="6"/>
  <c r="L59" i="6"/>
  <c r="M59" i="6"/>
  <c r="B59" i="6"/>
  <c r="C57" i="6"/>
  <c r="D57" i="6"/>
  <c r="E57" i="6"/>
  <c r="F57" i="6"/>
  <c r="G57" i="6"/>
  <c r="H57" i="6"/>
  <c r="I57" i="6"/>
  <c r="J57" i="6"/>
  <c r="K57" i="6"/>
  <c r="L57" i="6"/>
  <c r="M57" i="6"/>
  <c r="B57" i="6"/>
  <c r="C58" i="6"/>
  <c r="D58" i="6"/>
  <c r="E58" i="6"/>
  <c r="F58" i="6"/>
  <c r="G58" i="6"/>
  <c r="H58" i="6"/>
  <c r="I58" i="6"/>
  <c r="J58" i="6"/>
  <c r="K58" i="6"/>
  <c r="L58" i="6"/>
  <c r="M58" i="6"/>
  <c r="B58" i="6"/>
  <c r="T372" i="17" l="1"/>
  <c r="C52" i="6" l="1"/>
  <c r="E52" i="6"/>
  <c r="D52" i="6"/>
  <c r="F52" i="6"/>
  <c r="G52" i="6"/>
  <c r="H52" i="6"/>
  <c r="I52" i="6"/>
  <c r="J52" i="6"/>
  <c r="K52" i="6"/>
  <c r="L52" i="6"/>
  <c r="M52" i="6"/>
  <c r="B52" i="6"/>
  <c r="T59" i="6"/>
  <c r="T58" i="6"/>
  <c r="T57" i="6"/>
  <c r="R57" i="6"/>
  <c r="R59" i="6"/>
  <c r="R60" i="6"/>
  <c r="M4" i="9" l="1"/>
  <c r="M5" i="9"/>
  <c r="M6" i="9"/>
  <c r="M7" i="9"/>
  <c r="M3" i="9"/>
  <c r="L4" i="9"/>
  <c r="L5" i="9"/>
  <c r="L6" i="9"/>
  <c r="L7" i="9"/>
  <c r="W9" i="9"/>
  <c r="W8" i="9"/>
  <c r="W7" i="9"/>
  <c r="W6" i="9"/>
  <c r="W5" i="9"/>
  <c r="T6" i="9"/>
  <c r="T7" i="9"/>
  <c r="T8" i="9"/>
  <c r="T9" i="9"/>
  <c r="T5" i="9"/>
  <c r="L3" i="9" s="1"/>
  <c r="O3" i="9" s="1"/>
  <c r="O4" i="9"/>
  <c r="O5" i="9"/>
  <c r="O6" i="9"/>
  <c r="O7" i="9"/>
  <c r="O4" i="6"/>
  <c r="T5" i="6"/>
  <c r="F51" i="4" s="1"/>
  <c r="J53" i="6" l="1"/>
  <c r="K53" i="6"/>
  <c r="L53" i="6"/>
  <c r="M53" i="6"/>
  <c r="B53" i="6"/>
  <c r="C53" i="6"/>
  <c r="D53" i="6"/>
  <c r="E53" i="6"/>
  <c r="F53" i="6"/>
  <c r="G53" i="6"/>
  <c r="H53" i="6"/>
  <c r="I53" i="6"/>
  <c r="J54" i="6"/>
  <c r="K54" i="6"/>
  <c r="L54" i="6"/>
  <c r="M54" i="6"/>
  <c r="B54" i="6"/>
  <c r="C54" i="6"/>
  <c r="D54" i="6"/>
  <c r="E54" i="6"/>
  <c r="F54" i="6"/>
  <c r="G54" i="6"/>
  <c r="H54" i="6"/>
  <c r="I54" i="6"/>
  <c r="I51" i="4"/>
  <c r="H51" i="4"/>
  <c r="G51" i="4"/>
  <c r="AJ60" i="3" l="1"/>
  <c r="AJ59" i="3"/>
  <c r="AJ55" i="3"/>
  <c r="AJ54" i="3"/>
  <c r="AJ50" i="3"/>
  <c r="AJ51" i="3"/>
  <c r="AJ49" i="3"/>
  <c r="AJ41" i="3"/>
  <c r="AJ40" i="3"/>
  <c r="AJ36" i="3"/>
  <c r="AJ35" i="3"/>
  <c r="AJ32" i="3"/>
  <c r="AJ31" i="3"/>
  <c r="AJ30" i="3"/>
  <c r="AP13" i="3"/>
  <c r="AJ13" i="3"/>
  <c r="J51" i="4" l="1"/>
  <c r="K16" i="9"/>
  <c r="AP23" i="3" l="1"/>
  <c r="AP24" i="3"/>
  <c r="AP22" i="3"/>
  <c r="AP18" i="3"/>
  <c r="AP19" i="3"/>
  <c r="AP17" i="3"/>
  <c r="AP14" i="3"/>
  <c r="AP12" i="3"/>
  <c r="AJ23" i="3"/>
  <c r="AJ24" i="3"/>
  <c r="AJ22" i="3"/>
  <c r="AJ18" i="3"/>
  <c r="AJ19" i="3"/>
  <c r="AJ17" i="3"/>
  <c r="AJ14" i="3"/>
  <c r="AJ12" i="3"/>
  <c r="R5" i="3"/>
  <c r="S5" i="3"/>
  <c r="T5" i="3"/>
  <c r="U5" i="3"/>
  <c r="V5" i="3"/>
  <c r="W5" i="3"/>
  <c r="X5" i="3"/>
  <c r="Y5" i="3"/>
  <c r="Z5" i="3"/>
  <c r="AA5" i="3"/>
  <c r="AB5" i="3"/>
  <c r="AC5" i="3"/>
  <c r="R6" i="3"/>
  <c r="S6" i="3"/>
  <c r="T6" i="3"/>
  <c r="U6" i="3"/>
  <c r="V6" i="3"/>
  <c r="W6" i="3"/>
  <c r="X6" i="3"/>
  <c r="Y6" i="3"/>
  <c r="Z6" i="3"/>
  <c r="AA6" i="3"/>
  <c r="AB6" i="3"/>
  <c r="AC6" i="3"/>
  <c r="R7" i="3"/>
  <c r="S7" i="3"/>
  <c r="T7" i="3"/>
  <c r="U7" i="3"/>
  <c r="V7" i="3"/>
  <c r="W7" i="3"/>
  <c r="X7" i="3"/>
  <c r="Y7" i="3"/>
  <c r="Z7" i="3"/>
  <c r="AA7" i="3"/>
  <c r="AB7" i="3"/>
  <c r="AC7" i="3"/>
  <c r="BI7" i="3"/>
  <c r="BJ9" i="3" s="1"/>
  <c r="BJ7" i="3"/>
  <c r="BK7" i="3"/>
  <c r="R8" i="3"/>
  <c r="S8" i="3"/>
  <c r="T8" i="3"/>
  <c r="U8" i="3"/>
  <c r="V8" i="3"/>
  <c r="W8" i="3"/>
  <c r="X8" i="3"/>
  <c r="Y8" i="3"/>
  <c r="Z8" i="3"/>
  <c r="AA8" i="3"/>
  <c r="AB8" i="3"/>
  <c r="AC8" i="3"/>
  <c r="BI8" i="3"/>
  <c r="BJ12" i="3" s="1"/>
  <c r="R9" i="3"/>
  <c r="S9" i="3"/>
  <c r="T9" i="3"/>
  <c r="U9" i="3"/>
  <c r="V9" i="3"/>
  <c r="W9" i="3"/>
  <c r="X9" i="3"/>
  <c r="Y9" i="3"/>
  <c r="Z9" i="3"/>
  <c r="AA9" i="3"/>
  <c r="AB9" i="3"/>
  <c r="AC9" i="3"/>
  <c r="BI9" i="3"/>
  <c r="R10" i="3"/>
  <c r="S10" i="3"/>
  <c r="T10" i="3"/>
  <c r="U10" i="3"/>
  <c r="V10" i="3"/>
  <c r="W10" i="3"/>
  <c r="X10" i="3"/>
  <c r="Y10" i="3"/>
  <c r="Z10" i="3"/>
  <c r="AA10" i="3"/>
  <c r="AB10" i="3"/>
  <c r="AC10" i="3"/>
  <c r="BI10" i="3"/>
  <c r="BJ10" i="3" s="1"/>
  <c r="R11" i="3"/>
  <c r="S11" i="3"/>
  <c r="T11" i="3"/>
  <c r="U11" i="3"/>
  <c r="V11" i="3"/>
  <c r="W11" i="3"/>
  <c r="X11" i="3"/>
  <c r="Y11" i="3"/>
  <c r="Z11" i="3"/>
  <c r="AA11" i="3"/>
  <c r="AB11" i="3"/>
  <c r="AC11" i="3"/>
  <c r="BI11" i="3"/>
  <c r="BJ8" i="3" s="1"/>
  <c r="BJ11" i="3"/>
  <c r="R12" i="3"/>
  <c r="S12" i="3"/>
  <c r="T12" i="3"/>
  <c r="U12" i="3"/>
  <c r="V12" i="3"/>
  <c r="W12" i="3"/>
  <c r="X12" i="3"/>
  <c r="Y12" i="3"/>
  <c r="Z12" i="3"/>
  <c r="AA12" i="3"/>
  <c r="AB12" i="3"/>
  <c r="AC12" i="3"/>
  <c r="BI12" i="3"/>
  <c r="R13" i="3"/>
  <c r="S13" i="3"/>
  <c r="T13" i="3"/>
  <c r="U13" i="3"/>
  <c r="V13" i="3"/>
  <c r="W13" i="3"/>
  <c r="X13" i="3"/>
  <c r="Y13" i="3"/>
  <c r="Z13" i="3"/>
  <c r="AA13" i="3"/>
  <c r="AB13" i="3"/>
  <c r="AC13" i="3"/>
  <c r="R14" i="3"/>
  <c r="S14" i="3"/>
  <c r="T14" i="3"/>
  <c r="U14" i="3"/>
  <c r="V14" i="3"/>
  <c r="W14" i="3"/>
  <c r="X14" i="3"/>
  <c r="Y14" i="3"/>
  <c r="Z14" i="3"/>
  <c r="AA14" i="3"/>
  <c r="AB14" i="3"/>
  <c r="AC14" i="3"/>
  <c r="R15" i="3"/>
  <c r="S15" i="3"/>
  <c r="T15" i="3"/>
  <c r="U15" i="3"/>
  <c r="V15" i="3"/>
  <c r="W15" i="3"/>
  <c r="X15" i="3"/>
  <c r="Y15" i="3"/>
  <c r="Z15" i="3"/>
  <c r="AA15" i="3"/>
  <c r="AB15" i="3"/>
  <c r="AC15" i="3"/>
  <c r="BE15" i="3"/>
  <c r="R16" i="3"/>
  <c r="S16" i="3"/>
  <c r="T16" i="3"/>
  <c r="U16" i="3"/>
  <c r="V16" i="3"/>
  <c r="W16" i="3"/>
  <c r="X16" i="3"/>
  <c r="Y16" i="3"/>
  <c r="Z16" i="3"/>
  <c r="AA16" i="3"/>
  <c r="AB16" i="3"/>
  <c r="AC16" i="3"/>
  <c r="BE16" i="3"/>
  <c r="R17" i="3"/>
  <c r="S17" i="3"/>
  <c r="T17" i="3"/>
  <c r="U17" i="3"/>
  <c r="V17" i="3"/>
  <c r="W17" i="3"/>
  <c r="X17" i="3"/>
  <c r="Y17" i="3"/>
  <c r="Z17" i="3"/>
  <c r="AA17" i="3"/>
  <c r="AB17" i="3"/>
  <c r="AC17" i="3"/>
  <c r="BE17" i="3"/>
  <c r="R18" i="3"/>
  <c r="S18" i="3"/>
  <c r="T18" i="3"/>
  <c r="U18" i="3"/>
  <c r="V18" i="3"/>
  <c r="W18" i="3"/>
  <c r="X18" i="3"/>
  <c r="Y18" i="3"/>
  <c r="Z18" i="3"/>
  <c r="AA18" i="3"/>
  <c r="AB18" i="3"/>
  <c r="AC18" i="3"/>
  <c r="R19" i="3"/>
  <c r="S19" i="3"/>
  <c r="T19" i="3"/>
  <c r="U19" i="3"/>
  <c r="V19" i="3"/>
  <c r="W19" i="3"/>
  <c r="X19" i="3"/>
  <c r="Y19" i="3"/>
  <c r="Z19" i="3"/>
  <c r="AA19" i="3"/>
  <c r="AB19" i="3"/>
  <c r="AC19" i="3"/>
  <c r="R20" i="3"/>
  <c r="S20" i="3"/>
  <c r="T20" i="3"/>
  <c r="U20" i="3"/>
  <c r="V20" i="3"/>
  <c r="W20" i="3"/>
  <c r="X20" i="3"/>
  <c r="Y20" i="3"/>
  <c r="Z20" i="3"/>
  <c r="AA20" i="3"/>
  <c r="AB20" i="3"/>
  <c r="AC20" i="3"/>
  <c r="R21" i="3"/>
  <c r="S21" i="3"/>
  <c r="T21" i="3"/>
  <c r="U21" i="3"/>
  <c r="V21" i="3"/>
  <c r="W21" i="3"/>
  <c r="X21" i="3"/>
  <c r="Y21" i="3"/>
  <c r="Z21" i="3"/>
  <c r="AA21" i="3"/>
  <c r="AB21" i="3"/>
  <c r="AC21" i="3"/>
  <c r="R22" i="3"/>
  <c r="S22" i="3"/>
  <c r="T22" i="3"/>
  <c r="U22" i="3"/>
  <c r="V22" i="3"/>
  <c r="W22" i="3"/>
  <c r="X22" i="3"/>
  <c r="Y22" i="3"/>
  <c r="Z22" i="3"/>
  <c r="AA22" i="3"/>
  <c r="AB22" i="3"/>
  <c r="AC22" i="3"/>
  <c r="BI22" i="3"/>
  <c r="BL22" i="3"/>
  <c r="R23" i="3"/>
  <c r="S23" i="3"/>
  <c r="T23" i="3"/>
  <c r="U23" i="3"/>
  <c r="V23" i="3"/>
  <c r="W23" i="3"/>
  <c r="X23" i="3"/>
  <c r="Y23" i="3"/>
  <c r="Z23" i="3"/>
  <c r="AA23" i="3"/>
  <c r="AB23" i="3"/>
  <c r="AC23" i="3"/>
  <c r="BI23" i="3"/>
  <c r="BL23" i="3"/>
  <c r="R24" i="3"/>
  <c r="S24" i="3"/>
  <c r="T24" i="3"/>
  <c r="U24" i="3"/>
  <c r="V24" i="3"/>
  <c r="W24" i="3"/>
  <c r="X24" i="3"/>
  <c r="Y24" i="3"/>
  <c r="Z24" i="3"/>
  <c r="AA24" i="3"/>
  <c r="AB24" i="3"/>
  <c r="AC24" i="3"/>
  <c r="R32" i="3"/>
  <c r="S32" i="3"/>
  <c r="T32" i="3"/>
  <c r="U32" i="3"/>
  <c r="V32" i="3"/>
  <c r="W32" i="3"/>
  <c r="X32" i="3"/>
  <c r="Y32" i="3"/>
  <c r="Z32" i="3"/>
  <c r="AA32" i="3"/>
  <c r="AB32" i="3"/>
  <c r="AC32" i="3"/>
  <c r="R33" i="3"/>
  <c r="S33" i="3"/>
  <c r="T33" i="3"/>
  <c r="U33" i="3"/>
  <c r="V33" i="3"/>
  <c r="W33" i="3"/>
  <c r="X33" i="3"/>
  <c r="Y33" i="3"/>
  <c r="Z33" i="3"/>
  <c r="AA33" i="3"/>
  <c r="AB33" i="3"/>
  <c r="AC33" i="3"/>
  <c r="R34" i="3"/>
  <c r="S34" i="3"/>
  <c r="T34" i="3"/>
  <c r="U34" i="3"/>
  <c r="V34" i="3"/>
  <c r="W34" i="3"/>
  <c r="X34" i="3"/>
  <c r="Y34" i="3"/>
  <c r="Z34" i="3"/>
  <c r="AA34" i="3"/>
  <c r="AB34" i="3"/>
  <c r="AC34" i="3"/>
  <c r="R35" i="3"/>
  <c r="S35" i="3"/>
  <c r="T35" i="3"/>
  <c r="U35" i="3"/>
  <c r="V35" i="3"/>
  <c r="W35" i="3"/>
  <c r="X35" i="3"/>
  <c r="Y35" i="3"/>
  <c r="Z35" i="3"/>
  <c r="AA35" i="3"/>
  <c r="AB35" i="3"/>
  <c r="AC35" i="3"/>
  <c r="BH35" i="3"/>
  <c r="BI37" i="3" s="1"/>
  <c r="BI35" i="3"/>
  <c r="BJ35" i="3"/>
  <c r="R36" i="3"/>
  <c r="S36" i="3"/>
  <c r="T36" i="3"/>
  <c r="U36" i="3"/>
  <c r="V36" i="3"/>
  <c r="W36" i="3"/>
  <c r="X36" i="3"/>
  <c r="Y36" i="3"/>
  <c r="Z36" i="3"/>
  <c r="AA36" i="3"/>
  <c r="AB36" i="3"/>
  <c r="AC36" i="3"/>
  <c r="BJ36" i="3"/>
  <c r="R37" i="3"/>
  <c r="S37" i="3"/>
  <c r="T37" i="3"/>
  <c r="U37" i="3"/>
  <c r="V37" i="3"/>
  <c r="W37" i="3"/>
  <c r="X37" i="3"/>
  <c r="Y37" i="3"/>
  <c r="Z37" i="3"/>
  <c r="AA37" i="3"/>
  <c r="AB37" i="3"/>
  <c r="AC37" i="3"/>
  <c r="BJ37" i="3"/>
  <c r="R38" i="3"/>
  <c r="S38" i="3"/>
  <c r="T38" i="3"/>
  <c r="U38" i="3"/>
  <c r="V38" i="3"/>
  <c r="W38" i="3"/>
  <c r="X38" i="3"/>
  <c r="Y38" i="3"/>
  <c r="Z38" i="3"/>
  <c r="AA38" i="3"/>
  <c r="AB38" i="3"/>
  <c r="AC38" i="3"/>
  <c r="BI38" i="3"/>
  <c r="BJ38" i="3"/>
  <c r="R39" i="3"/>
  <c r="S39" i="3"/>
  <c r="T39" i="3"/>
  <c r="U39" i="3"/>
  <c r="V39" i="3"/>
  <c r="W39" i="3"/>
  <c r="X39" i="3"/>
  <c r="Y39" i="3"/>
  <c r="Z39" i="3"/>
  <c r="AA39" i="3"/>
  <c r="AB39" i="3"/>
  <c r="AC39" i="3"/>
  <c r="BJ39" i="3"/>
  <c r="R40" i="3"/>
  <c r="S40" i="3"/>
  <c r="T40" i="3"/>
  <c r="U40" i="3"/>
  <c r="V40" i="3"/>
  <c r="W40" i="3"/>
  <c r="X40" i="3"/>
  <c r="Y40" i="3"/>
  <c r="Z40" i="3"/>
  <c r="AA40" i="3"/>
  <c r="AB40" i="3"/>
  <c r="AC40" i="3"/>
  <c r="BJ40" i="3"/>
  <c r="R41" i="3"/>
  <c r="S41" i="3"/>
  <c r="T41" i="3"/>
  <c r="U41" i="3"/>
  <c r="V41" i="3"/>
  <c r="W41" i="3"/>
  <c r="X41" i="3"/>
  <c r="Y41" i="3"/>
  <c r="Z41" i="3"/>
  <c r="AA41" i="3"/>
  <c r="AB41" i="3"/>
  <c r="AC41" i="3"/>
  <c r="BI41" i="3"/>
  <c r="BJ41" i="3"/>
  <c r="R42" i="3"/>
  <c r="S42" i="3"/>
  <c r="T42" i="3"/>
  <c r="U42" i="3"/>
  <c r="V42" i="3"/>
  <c r="W42" i="3"/>
  <c r="X42" i="3"/>
  <c r="Y42" i="3"/>
  <c r="Z42" i="3"/>
  <c r="AA42" i="3"/>
  <c r="AB42" i="3"/>
  <c r="AC42" i="3"/>
  <c r="BJ42" i="3"/>
  <c r="R43" i="3"/>
  <c r="S43" i="3"/>
  <c r="T43" i="3"/>
  <c r="U43" i="3"/>
  <c r="V43" i="3"/>
  <c r="W43" i="3"/>
  <c r="X43" i="3"/>
  <c r="Y43" i="3"/>
  <c r="Z43" i="3"/>
  <c r="AA43" i="3"/>
  <c r="AB43" i="3"/>
  <c r="AC43" i="3"/>
  <c r="R44" i="3"/>
  <c r="S44" i="3"/>
  <c r="T44" i="3"/>
  <c r="U44" i="3"/>
  <c r="V44" i="3"/>
  <c r="W44" i="3"/>
  <c r="X44" i="3"/>
  <c r="Y44" i="3"/>
  <c r="Z44" i="3"/>
  <c r="AA44" i="3"/>
  <c r="AB44" i="3"/>
  <c r="AC44" i="3"/>
  <c r="R45" i="3"/>
  <c r="S45" i="3"/>
  <c r="T45" i="3"/>
  <c r="U45" i="3"/>
  <c r="V45" i="3"/>
  <c r="W45" i="3"/>
  <c r="X45" i="3"/>
  <c r="Y45" i="3"/>
  <c r="Z45" i="3"/>
  <c r="AA45" i="3"/>
  <c r="AB45" i="3"/>
  <c r="AC45" i="3"/>
  <c r="R46" i="3"/>
  <c r="S46" i="3"/>
  <c r="T46" i="3"/>
  <c r="U46" i="3"/>
  <c r="V46" i="3"/>
  <c r="W46" i="3"/>
  <c r="X46" i="3"/>
  <c r="Y46" i="3"/>
  <c r="Z46" i="3"/>
  <c r="AA46" i="3"/>
  <c r="AB46" i="3"/>
  <c r="AC46" i="3"/>
  <c r="R47" i="3"/>
  <c r="S47" i="3"/>
  <c r="T47" i="3"/>
  <c r="U47" i="3"/>
  <c r="V47" i="3"/>
  <c r="W47" i="3"/>
  <c r="X47" i="3"/>
  <c r="Y47" i="3"/>
  <c r="Z47" i="3"/>
  <c r="AA47" i="3"/>
  <c r="AB47" i="3"/>
  <c r="AC47" i="3"/>
  <c r="BE47" i="3"/>
  <c r="BF47" i="3"/>
  <c r="R48" i="3"/>
  <c r="S48" i="3"/>
  <c r="T48" i="3"/>
  <c r="U48" i="3"/>
  <c r="V48" i="3"/>
  <c r="W48" i="3"/>
  <c r="X48" i="3"/>
  <c r="Y48" i="3"/>
  <c r="Z48" i="3"/>
  <c r="AA48" i="3"/>
  <c r="AB48" i="3"/>
  <c r="AC48" i="3"/>
  <c r="BE48" i="3"/>
  <c r="BF48" i="3" s="1"/>
  <c r="BM48" i="3"/>
  <c r="R49" i="3"/>
  <c r="S49" i="3"/>
  <c r="T49" i="3"/>
  <c r="U49" i="3"/>
  <c r="V49" i="3"/>
  <c r="W49" i="3"/>
  <c r="X49" i="3"/>
  <c r="Y49" i="3"/>
  <c r="Z49" i="3"/>
  <c r="AA49" i="3"/>
  <c r="AB49" i="3"/>
  <c r="AC49" i="3"/>
  <c r="BE49" i="3"/>
  <c r="BF49" i="3" s="1"/>
  <c r="BM49" i="3"/>
  <c r="R50" i="3"/>
  <c r="S50" i="3"/>
  <c r="T50" i="3"/>
  <c r="U50" i="3"/>
  <c r="V50" i="3"/>
  <c r="W50" i="3"/>
  <c r="X50" i="3"/>
  <c r="Y50" i="3"/>
  <c r="Z50" i="3"/>
  <c r="AA50" i="3"/>
  <c r="AB50" i="3"/>
  <c r="AC50" i="3"/>
  <c r="R51" i="3"/>
  <c r="S51" i="3"/>
  <c r="T51" i="3"/>
  <c r="U51" i="3"/>
  <c r="V51" i="3"/>
  <c r="W51" i="3"/>
  <c r="X51" i="3"/>
  <c r="Y51" i="3"/>
  <c r="Z51" i="3"/>
  <c r="AA51" i="3"/>
  <c r="AB51" i="3"/>
  <c r="AC51" i="3"/>
  <c r="BE56" i="3"/>
  <c r="BE57" i="3"/>
  <c r="R58" i="3"/>
  <c r="S58" i="3"/>
  <c r="T58" i="3"/>
  <c r="U58" i="3"/>
  <c r="V58" i="3"/>
  <c r="W58" i="3"/>
  <c r="X58" i="3"/>
  <c r="Y58" i="3"/>
  <c r="Z58" i="3"/>
  <c r="AA58" i="3"/>
  <c r="AB58" i="3"/>
  <c r="AC58" i="3"/>
  <c r="R59" i="3"/>
  <c r="S59" i="3"/>
  <c r="T59" i="3"/>
  <c r="U59" i="3"/>
  <c r="V59" i="3"/>
  <c r="W59" i="3"/>
  <c r="X59" i="3"/>
  <c r="Y59" i="3"/>
  <c r="Z59" i="3"/>
  <c r="AA59" i="3"/>
  <c r="AB59" i="3"/>
  <c r="AC59" i="3"/>
  <c r="R60" i="3"/>
  <c r="S60" i="3"/>
  <c r="T60" i="3"/>
  <c r="U60" i="3"/>
  <c r="V60" i="3"/>
  <c r="W60" i="3"/>
  <c r="X60" i="3"/>
  <c r="Y60" i="3"/>
  <c r="Z60" i="3"/>
  <c r="AA60" i="3"/>
  <c r="AB60" i="3"/>
  <c r="AC60" i="3"/>
  <c r="R61" i="3"/>
  <c r="S61" i="3"/>
  <c r="T61" i="3"/>
  <c r="U61" i="3"/>
  <c r="V61" i="3"/>
  <c r="W61" i="3"/>
  <c r="X61" i="3"/>
  <c r="Y61" i="3"/>
  <c r="Z61" i="3"/>
  <c r="AA61" i="3"/>
  <c r="AB61" i="3"/>
  <c r="AC61" i="3"/>
  <c r="R62" i="3"/>
  <c r="S62" i="3"/>
  <c r="T62" i="3"/>
  <c r="U62" i="3"/>
  <c r="V62" i="3"/>
  <c r="W62" i="3"/>
  <c r="X62" i="3"/>
  <c r="Y62" i="3"/>
  <c r="Z62" i="3"/>
  <c r="AA62" i="3"/>
  <c r="AB62" i="3"/>
  <c r="AC62" i="3"/>
  <c r="R63" i="3"/>
  <c r="S63" i="3"/>
  <c r="T63" i="3"/>
  <c r="U63" i="3"/>
  <c r="V63" i="3"/>
  <c r="W63" i="3"/>
  <c r="X63" i="3"/>
  <c r="Y63" i="3"/>
  <c r="Z63" i="3"/>
  <c r="AA63" i="3"/>
  <c r="AB63" i="3"/>
  <c r="AC63" i="3"/>
  <c r="R64" i="3"/>
  <c r="S64" i="3"/>
  <c r="T64" i="3"/>
  <c r="U64" i="3"/>
  <c r="V64" i="3"/>
  <c r="W64" i="3"/>
  <c r="X64" i="3"/>
  <c r="Y64" i="3"/>
  <c r="Z64" i="3"/>
  <c r="AA64" i="3"/>
  <c r="AB64" i="3"/>
  <c r="AC64" i="3"/>
  <c r="R65" i="3"/>
  <c r="S65" i="3"/>
  <c r="T65" i="3"/>
  <c r="U65" i="3"/>
  <c r="V65" i="3"/>
  <c r="W65" i="3"/>
  <c r="X65" i="3"/>
  <c r="Y65" i="3"/>
  <c r="Z65" i="3"/>
  <c r="AA65" i="3"/>
  <c r="AB65" i="3"/>
  <c r="AC65" i="3"/>
  <c r="R66" i="3"/>
  <c r="S66" i="3"/>
  <c r="T66" i="3"/>
  <c r="U66" i="3"/>
  <c r="V66" i="3"/>
  <c r="W66" i="3"/>
  <c r="X66" i="3"/>
  <c r="Y66" i="3"/>
  <c r="Z66" i="3"/>
  <c r="AA66" i="3"/>
  <c r="AB66" i="3"/>
  <c r="AC66" i="3"/>
  <c r="R67" i="3"/>
  <c r="S67" i="3"/>
  <c r="T67" i="3"/>
  <c r="U67" i="3"/>
  <c r="V67" i="3"/>
  <c r="W67" i="3"/>
  <c r="X67" i="3"/>
  <c r="Y67" i="3"/>
  <c r="Z67" i="3"/>
  <c r="AA67" i="3"/>
  <c r="AB67" i="3"/>
  <c r="AC67" i="3"/>
  <c r="R68" i="3"/>
  <c r="S68" i="3"/>
  <c r="T68" i="3"/>
  <c r="U68" i="3"/>
  <c r="V68" i="3"/>
  <c r="W68" i="3"/>
  <c r="X68" i="3"/>
  <c r="Y68" i="3"/>
  <c r="Z68" i="3"/>
  <c r="AA68" i="3"/>
  <c r="AB68" i="3"/>
  <c r="AC68" i="3"/>
  <c r="R69" i="3"/>
  <c r="S69" i="3"/>
  <c r="T69" i="3"/>
  <c r="U69" i="3"/>
  <c r="V69" i="3"/>
  <c r="W69" i="3"/>
  <c r="X69" i="3"/>
  <c r="Y69" i="3"/>
  <c r="Z69" i="3"/>
  <c r="AA69" i="3"/>
  <c r="AB69" i="3"/>
  <c r="AC69" i="3"/>
  <c r="R70" i="3"/>
  <c r="S70" i="3"/>
  <c r="T70" i="3"/>
  <c r="U70" i="3"/>
  <c r="V70" i="3"/>
  <c r="W70" i="3"/>
  <c r="X70" i="3"/>
  <c r="Y70" i="3"/>
  <c r="Z70" i="3"/>
  <c r="AA70" i="3"/>
  <c r="AB70" i="3"/>
  <c r="AC70" i="3"/>
  <c r="R71" i="3"/>
  <c r="S71" i="3"/>
  <c r="T71" i="3"/>
  <c r="U71" i="3"/>
  <c r="V71" i="3"/>
  <c r="W71" i="3"/>
  <c r="X71" i="3"/>
  <c r="Y71" i="3"/>
  <c r="Z71" i="3"/>
  <c r="AA71" i="3"/>
  <c r="AB71" i="3"/>
  <c r="AC71" i="3"/>
  <c r="R72" i="3"/>
  <c r="S72" i="3"/>
  <c r="T72" i="3"/>
  <c r="U72" i="3"/>
  <c r="V72" i="3"/>
  <c r="W72" i="3"/>
  <c r="X72" i="3"/>
  <c r="Y72" i="3"/>
  <c r="Z72" i="3"/>
  <c r="AA72" i="3"/>
  <c r="AB72" i="3"/>
  <c r="AC72" i="3"/>
  <c r="R73" i="3"/>
  <c r="S73" i="3"/>
  <c r="T73" i="3"/>
  <c r="U73" i="3"/>
  <c r="V73" i="3"/>
  <c r="W73" i="3"/>
  <c r="X73" i="3"/>
  <c r="Y73" i="3"/>
  <c r="Z73" i="3"/>
  <c r="AA73" i="3"/>
  <c r="AB73" i="3"/>
  <c r="AC73" i="3"/>
  <c r="R74" i="3"/>
  <c r="S74" i="3"/>
  <c r="T74" i="3"/>
  <c r="U74" i="3"/>
  <c r="V74" i="3"/>
  <c r="W74" i="3"/>
  <c r="X74" i="3"/>
  <c r="Y74" i="3"/>
  <c r="Z74" i="3"/>
  <c r="AA74" i="3"/>
  <c r="AB74" i="3"/>
  <c r="AC74" i="3"/>
  <c r="R75" i="3"/>
  <c r="S75" i="3"/>
  <c r="T75" i="3"/>
  <c r="U75" i="3"/>
  <c r="V75" i="3"/>
  <c r="W75" i="3"/>
  <c r="X75" i="3"/>
  <c r="Y75" i="3"/>
  <c r="Z75" i="3"/>
  <c r="AA75" i="3"/>
  <c r="AB75" i="3"/>
  <c r="AC75" i="3"/>
  <c r="R76" i="3"/>
  <c r="S76" i="3"/>
  <c r="T76" i="3"/>
  <c r="U76" i="3"/>
  <c r="V76" i="3"/>
  <c r="W76" i="3"/>
  <c r="X76" i="3"/>
  <c r="Y76" i="3"/>
  <c r="Z76" i="3"/>
  <c r="AA76" i="3"/>
  <c r="AB76" i="3"/>
  <c r="AC76" i="3"/>
  <c r="R77" i="3"/>
  <c r="S77" i="3"/>
  <c r="T77" i="3"/>
  <c r="U77" i="3"/>
  <c r="V77" i="3"/>
  <c r="W77" i="3"/>
  <c r="X77" i="3"/>
  <c r="Y77" i="3"/>
  <c r="Z77" i="3"/>
  <c r="AA77" i="3"/>
  <c r="AB77" i="3"/>
  <c r="AC77" i="3"/>
  <c r="BK12" i="3" l="1"/>
  <c r="BI42" i="3"/>
  <c r="BK9" i="3"/>
  <c r="BI39" i="3"/>
  <c r="BI40" i="3"/>
  <c r="BK11" i="3"/>
  <c r="BI36" i="3"/>
  <c r="F9" i="5"/>
  <c r="G9" i="5"/>
  <c r="H9" i="5"/>
  <c r="I9" i="5"/>
  <c r="J9" i="5"/>
  <c r="K9" i="5"/>
  <c r="L9" i="5"/>
  <c r="M9" i="5"/>
  <c r="CI5" i="3" l="1"/>
  <c r="CG11" i="3" s="1"/>
  <c r="CI4" i="3"/>
  <c r="CG4" i="3" s="1"/>
  <c r="CH23" i="3"/>
  <c r="CH24" i="3"/>
  <c r="CC24" i="3"/>
  <c r="CC23" i="3"/>
  <c r="CC19" i="3"/>
  <c r="CC18" i="3"/>
  <c r="CG5" i="3" l="1"/>
  <c r="CG13" i="3"/>
  <c r="CG6" i="3"/>
  <c r="CG8" i="3"/>
  <c r="CG10" i="3"/>
  <c r="CG12" i="3"/>
  <c r="CG7" i="3"/>
  <c r="CG9" i="3"/>
  <c r="C6" i="13" l="1"/>
  <c r="D6" i="13"/>
  <c r="E6" i="13"/>
  <c r="F6" i="13"/>
  <c r="G6" i="13"/>
  <c r="H6" i="13"/>
  <c r="I6" i="13"/>
  <c r="J6" i="13"/>
  <c r="K6" i="13"/>
  <c r="L6" i="13"/>
  <c r="M6" i="13"/>
  <c r="N6" i="13"/>
  <c r="B6" i="13"/>
  <c r="D1" i="13"/>
  <c r="E1" i="13"/>
  <c r="F1" i="13"/>
  <c r="G1" i="13"/>
  <c r="H1" i="13"/>
  <c r="I1" i="13"/>
  <c r="J1" i="13"/>
  <c r="K1" i="13"/>
  <c r="L1" i="13"/>
  <c r="M1" i="13"/>
  <c r="N1" i="13"/>
  <c r="C1" i="13"/>
  <c r="S3" i="17"/>
  <c r="S4" i="17"/>
  <c r="S5"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S84" i="17"/>
  <c r="S85" i="17"/>
  <c r="S86" i="17"/>
  <c r="S87" i="17"/>
  <c r="S88" i="17"/>
  <c r="S89" i="17"/>
  <c r="S90" i="17"/>
  <c r="S91" i="17"/>
  <c r="S92" i="17"/>
  <c r="S93" i="17"/>
  <c r="S94" i="17"/>
  <c r="S95" i="17"/>
  <c r="S96" i="17"/>
  <c r="S97" i="17"/>
  <c r="S98" i="17"/>
  <c r="S99" i="17"/>
  <c r="S100" i="17"/>
  <c r="S101" i="17"/>
  <c r="S102" i="17"/>
  <c r="S103" i="17"/>
  <c r="S104" i="17"/>
  <c r="S105" i="17"/>
  <c r="S106" i="17"/>
  <c r="S107" i="17"/>
  <c r="S108" i="17"/>
  <c r="S109" i="17"/>
  <c r="S110" i="17"/>
  <c r="S111" i="17"/>
  <c r="S112" i="17"/>
  <c r="S113" i="17"/>
  <c r="S114" i="17"/>
  <c r="S115" i="17"/>
  <c r="S116" i="17"/>
  <c r="S117" i="17"/>
  <c r="S118" i="17"/>
  <c r="S119" i="17"/>
  <c r="S120" i="17"/>
  <c r="S121" i="17"/>
  <c r="S122" i="17"/>
  <c r="S123" i="17"/>
  <c r="S124" i="17"/>
  <c r="S125" i="17"/>
  <c r="S126" i="17"/>
  <c r="S127" i="17"/>
  <c r="S128" i="17"/>
  <c r="S129" i="17"/>
  <c r="S130" i="17"/>
  <c r="S131" i="17"/>
  <c r="S132" i="17"/>
  <c r="S133" i="17"/>
  <c r="S134" i="17"/>
  <c r="S135" i="17"/>
  <c r="S136" i="17"/>
  <c r="S137" i="17"/>
  <c r="S138" i="17"/>
  <c r="S139" i="17"/>
  <c r="S140" i="17"/>
  <c r="S141" i="17"/>
  <c r="S142" i="17"/>
  <c r="S143" i="17"/>
  <c r="S144" i="17"/>
  <c r="S145" i="17"/>
  <c r="S146" i="17"/>
  <c r="S147" i="17"/>
  <c r="S148" i="17"/>
  <c r="S149" i="17"/>
  <c r="S150" i="17"/>
  <c r="S151" i="17"/>
  <c r="S152" i="17"/>
  <c r="S153" i="17"/>
  <c r="S154" i="17"/>
  <c r="S155" i="17"/>
  <c r="S156" i="17"/>
  <c r="S157" i="17"/>
  <c r="S158" i="17"/>
  <c r="S159" i="17"/>
  <c r="S160" i="17"/>
  <c r="S161" i="17"/>
  <c r="S162" i="17"/>
  <c r="S163" i="17"/>
  <c r="S164" i="17"/>
  <c r="S165" i="17"/>
  <c r="S166" i="17"/>
  <c r="S167" i="17"/>
  <c r="S168" i="17"/>
  <c r="S169" i="17"/>
  <c r="S170" i="17"/>
  <c r="S171" i="17"/>
  <c r="S172" i="17"/>
  <c r="S173" i="17"/>
  <c r="S174" i="17"/>
  <c r="S175" i="17"/>
  <c r="S176" i="17"/>
  <c r="S177" i="17"/>
  <c r="S178" i="17"/>
  <c r="S179" i="17"/>
  <c r="S180" i="17"/>
  <c r="S181" i="17"/>
  <c r="S182" i="17"/>
  <c r="S183" i="17"/>
  <c r="S184" i="17"/>
  <c r="S185" i="17"/>
  <c r="S186" i="17"/>
  <c r="S187" i="17"/>
  <c r="S188" i="17"/>
  <c r="S189" i="17"/>
  <c r="S190" i="17"/>
  <c r="S191" i="17"/>
  <c r="S192" i="17"/>
  <c r="S193" i="17"/>
  <c r="S194" i="17"/>
  <c r="S195" i="17"/>
  <c r="S196" i="17"/>
  <c r="S197" i="17"/>
  <c r="S198" i="17"/>
  <c r="S199" i="17"/>
  <c r="S200" i="17"/>
  <c r="S201" i="17"/>
  <c r="S202" i="17"/>
  <c r="S203" i="17"/>
  <c r="S204" i="17"/>
  <c r="S205" i="17"/>
  <c r="S206" i="17"/>
  <c r="S207" i="17"/>
  <c r="S208" i="17"/>
  <c r="S209" i="17"/>
  <c r="S210" i="17"/>
  <c r="S211" i="17"/>
  <c r="S212" i="17"/>
  <c r="S213" i="17"/>
  <c r="S214" i="17"/>
  <c r="S215" i="17"/>
  <c r="S216" i="17"/>
  <c r="S217" i="17"/>
  <c r="S218" i="17"/>
  <c r="S219" i="17"/>
  <c r="S220" i="17"/>
  <c r="S221" i="17"/>
  <c r="S222" i="17"/>
  <c r="S223" i="17"/>
  <c r="S224" i="17"/>
  <c r="S225" i="17"/>
  <c r="S226" i="17"/>
  <c r="S227" i="17"/>
  <c r="S228" i="17"/>
  <c r="S229" i="17"/>
  <c r="S230" i="17"/>
  <c r="S231" i="17"/>
  <c r="S232" i="17"/>
  <c r="S233" i="17"/>
  <c r="S234" i="17"/>
  <c r="S235" i="17"/>
  <c r="S236" i="17"/>
  <c r="S237" i="17"/>
  <c r="S238" i="17"/>
  <c r="S239" i="17"/>
  <c r="S240" i="17"/>
  <c r="S241" i="17"/>
  <c r="S242" i="17"/>
  <c r="S243" i="17"/>
  <c r="S244" i="17"/>
  <c r="S245" i="17"/>
  <c r="S246" i="17"/>
  <c r="S247" i="17"/>
  <c r="S248" i="17"/>
  <c r="S249" i="17"/>
  <c r="S250" i="17"/>
  <c r="S251" i="17"/>
  <c r="S252" i="17"/>
  <c r="S253" i="17"/>
  <c r="S254" i="17"/>
  <c r="S255" i="17"/>
  <c r="S256" i="17"/>
  <c r="S257" i="17"/>
  <c r="S258" i="17"/>
  <c r="S259" i="17"/>
  <c r="S260" i="17"/>
  <c r="S261" i="17"/>
  <c r="S262" i="17"/>
  <c r="S263" i="17"/>
  <c r="S264" i="17"/>
  <c r="S265" i="17"/>
  <c r="S266" i="17"/>
  <c r="S267" i="17"/>
  <c r="S268" i="17"/>
  <c r="S269" i="17"/>
  <c r="S270" i="17"/>
  <c r="S271" i="17"/>
  <c r="S272" i="17"/>
  <c r="S273" i="17"/>
  <c r="S274" i="17"/>
  <c r="S275" i="17"/>
  <c r="S276" i="17"/>
  <c r="S277" i="17"/>
  <c r="S278" i="17"/>
  <c r="S279" i="17"/>
  <c r="S280" i="17"/>
  <c r="S281" i="17"/>
  <c r="S282" i="17"/>
  <c r="S283" i="17"/>
  <c r="S284" i="17"/>
  <c r="S285" i="17"/>
  <c r="S286" i="17"/>
  <c r="S287" i="17"/>
  <c r="S288" i="17"/>
  <c r="S289" i="17"/>
  <c r="S290" i="17"/>
  <c r="S291" i="17"/>
  <c r="S292" i="17"/>
  <c r="S293" i="17"/>
  <c r="S294" i="17"/>
  <c r="S295" i="17"/>
  <c r="S296" i="17"/>
  <c r="S297" i="17"/>
  <c r="S298" i="17"/>
  <c r="S299" i="17"/>
  <c r="S300" i="17"/>
  <c r="S301" i="17"/>
  <c r="S302" i="17"/>
  <c r="S303" i="17"/>
  <c r="S304" i="17"/>
  <c r="S305" i="17"/>
  <c r="S306" i="17"/>
  <c r="S307" i="17"/>
  <c r="S308" i="17"/>
  <c r="S309" i="17"/>
  <c r="S310" i="17"/>
  <c r="S311" i="17"/>
  <c r="S312" i="17"/>
  <c r="S313" i="17"/>
  <c r="S314" i="17"/>
  <c r="S315" i="17"/>
  <c r="S316" i="17"/>
  <c r="S317" i="17"/>
  <c r="S318" i="17"/>
  <c r="S319" i="17"/>
  <c r="S320" i="17"/>
  <c r="S321" i="17"/>
  <c r="S322" i="17"/>
  <c r="S323" i="17"/>
  <c r="S324" i="17"/>
  <c r="S325" i="17"/>
  <c r="S326" i="17"/>
  <c r="S327" i="17"/>
  <c r="S328" i="17"/>
  <c r="S329" i="17"/>
  <c r="S330" i="17"/>
  <c r="S331" i="17"/>
  <c r="S332" i="17"/>
  <c r="S333" i="17"/>
  <c r="S334" i="17"/>
  <c r="S335" i="17"/>
  <c r="S336" i="17"/>
  <c r="S337" i="17"/>
  <c r="S338" i="17"/>
  <c r="S339" i="17"/>
  <c r="S340" i="17"/>
  <c r="S341" i="17"/>
  <c r="S342" i="17"/>
  <c r="S343" i="17"/>
  <c r="S344" i="17"/>
  <c r="S345" i="17"/>
  <c r="S346" i="17"/>
  <c r="S347" i="17"/>
  <c r="S348" i="17"/>
  <c r="S349" i="17"/>
  <c r="S350" i="17"/>
  <c r="S351" i="17"/>
  <c r="S352" i="17"/>
  <c r="S353" i="17"/>
  <c r="S354" i="17"/>
  <c r="S355" i="17"/>
  <c r="S356" i="17"/>
  <c r="S357" i="17"/>
  <c r="S358" i="17"/>
  <c r="S359" i="17"/>
  <c r="S360" i="17"/>
  <c r="S361" i="17"/>
  <c r="S362" i="17"/>
  <c r="S363" i="17"/>
  <c r="S364" i="17"/>
  <c r="S365" i="17"/>
  <c r="S366" i="17"/>
  <c r="S2" i="17"/>
  <c r="B3" i="13" l="1"/>
  <c r="L9" i="17"/>
  <c r="G4" i="13" l="1"/>
  <c r="B4" i="13"/>
  <c r="H4" i="13"/>
  <c r="I4" i="13"/>
  <c r="J4" i="13"/>
  <c r="C4" i="13"/>
  <c r="K4" i="13"/>
  <c r="D4" i="13"/>
  <c r="L4" i="13"/>
  <c r="E4" i="13"/>
  <c r="M4" i="13"/>
  <c r="F4" i="13"/>
  <c r="N4" i="13"/>
  <c r="D5" i="13"/>
  <c r="L5" i="13"/>
  <c r="G5" i="13"/>
  <c r="E5" i="13"/>
  <c r="M5" i="13"/>
  <c r="B5" i="13"/>
  <c r="F5" i="13"/>
  <c r="N5" i="13"/>
  <c r="H5" i="13"/>
  <c r="I5" i="13"/>
  <c r="J5" i="13"/>
  <c r="C5" i="13"/>
  <c r="K5" i="13"/>
  <c r="P6" i="17"/>
  <c r="P14" i="17"/>
  <c r="P22" i="17"/>
  <c r="P30" i="17"/>
  <c r="P38" i="17"/>
  <c r="P46" i="17"/>
  <c r="P54" i="17"/>
  <c r="P62" i="17"/>
  <c r="P70" i="17"/>
  <c r="P78" i="17"/>
  <c r="P86" i="17"/>
  <c r="P94" i="17"/>
  <c r="P102" i="17"/>
  <c r="P110" i="17"/>
  <c r="P118" i="17"/>
  <c r="P126" i="17"/>
  <c r="P134" i="17"/>
  <c r="P142" i="17"/>
  <c r="P150" i="17"/>
  <c r="P158" i="17"/>
  <c r="P166" i="17"/>
  <c r="P174" i="17"/>
  <c r="P182" i="17"/>
  <c r="P190" i="17"/>
  <c r="P198" i="17"/>
  <c r="P206" i="17"/>
  <c r="P214" i="17"/>
  <c r="P7" i="17"/>
  <c r="P15" i="17"/>
  <c r="P23" i="17"/>
  <c r="P31" i="17"/>
  <c r="P39" i="17"/>
  <c r="P47" i="17"/>
  <c r="P55" i="17"/>
  <c r="P63" i="17"/>
  <c r="P71" i="17"/>
  <c r="P79" i="17"/>
  <c r="P87" i="17"/>
  <c r="P95" i="17"/>
  <c r="P103" i="17"/>
  <c r="P111" i="17"/>
  <c r="P119" i="17"/>
  <c r="P127" i="17"/>
  <c r="P135" i="17"/>
  <c r="P143" i="17"/>
  <c r="P151" i="17"/>
  <c r="P159" i="17"/>
  <c r="P167" i="17"/>
  <c r="P175" i="17"/>
  <c r="P183" i="17"/>
  <c r="P191" i="17"/>
  <c r="P199" i="17"/>
  <c r="P207" i="17"/>
  <c r="P215" i="17"/>
  <c r="P223" i="17"/>
  <c r="P8" i="17"/>
  <c r="P16" i="17"/>
  <c r="P24" i="17"/>
  <c r="P32" i="17"/>
  <c r="P40" i="17"/>
  <c r="P48" i="17"/>
  <c r="P56" i="17"/>
  <c r="P64" i="17"/>
  <c r="P72" i="17"/>
  <c r="P80" i="17"/>
  <c r="P88" i="17"/>
  <c r="P96" i="17"/>
  <c r="P104" i="17"/>
  <c r="P112" i="17"/>
  <c r="P120" i="17"/>
  <c r="P128" i="17"/>
  <c r="P136" i="17"/>
  <c r="P144" i="17"/>
  <c r="P152" i="17"/>
  <c r="P160" i="17"/>
  <c r="P168" i="17"/>
  <c r="P176" i="17"/>
  <c r="P184" i="17"/>
  <c r="P192" i="17"/>
  <c r="P200" i="17"/>
  <c r="P208" i="17"/>
  <c r="P9" i="17"/>
  <c r="P17" i="17"/>
  <c r="P25" i="17"/>
  <c r="P33" i="17"/>
  <c r="P41" i="17"/>
  <c r="P49" i="17"/>
  <c r="P57" i="17"/>
  <c r="P65" i="17"/>
  <c r="P73" i="17"/>
  <c r="P81" i="17"/>
  <c r="P89" i="17"/>
  <c r="P97" i="17"/>
  <c r="P105" i="17"/>
  <c r="P113" i="17"/>
  <c r="P121" i="17"/>
  <c r="P129" i="17"/>
  <c r="P137" i="17"/>
  <c r="P145" i="17"/>
  <c r="P153" i="17"/>
  <c r="P161" i="17"/>
  <c r="P169" i="17"/>
  <c r="P10" i="17"/>
  <c r="P18" i="17"/>
  <c r="P26" i="17"/>
  <c r="P34" i="17"/>
  <c r="P42" i="17"/>
  <c r="P50" i="17"/>
  <c r="P58" i="17"/>
  <c r="P66" i="17"/>
  <c r="P74" i="17"/>
  <c r="P82" i="17"/>
  <c r="P90" i="17"/>
  <c r="P98" i="17"/>
  <c r="P106" i="17"/>
  <c r="P114" i="17"/>
  <c r="P122" i="17"/>
  <c r="P130" i="17"/>
  <c r="P138" i="17"/>
  <c r="P146" i="17"/>
  <c r="P3" i="17"/>
  <c r="P11" i="17"/>
  <c r="P19" i="17"/>
  <c r="P27" i="17"/>
  <c r="P35" i="17"/>
  <c r="P43" i="17"/>
  <c r="P51" i="17"/>
  <c r="P59" i="17"/>
  <c r="P67" i="17"/>
  <c r="P75" i="17"/>
  <c r="P83" i="17"/>
  <c r="P91" i="17"/>
  <c r="P99" i="17"/>
  <c r="P107" i="17"/>
  <c r="P115" i="17"/>
  <c r="P123" i="17"/>
  <c r="P131" i="17"/>
  <c r="P139" i="17"/>
  <c r="P147" i="17"/>
  <c r="P155" i="17"/>
  <c r="P163" i="17"/>
  <c r="P171" i="17"/>
  <c r="P179" i="17"/>
  <c r="P187" i="17"/>
  <c r="P195" i="17"/>
  <c r="P203" i="17"/>
  <c r="P211" i="17"/>
  <c r="P29" i="17"/>
  <c r="P61" i="17"/>
  <c r="P93" i="17"/>
  <c r="P125" i="17"/>
  <c r="P156" i="17"/>
  <c r="P177" i="17"/>
  <c r="P193" i="17"/>
  <c r="P209" i="17"/>
  <c r="P220" i="17"/>
  <c r="P229" i="17"/>
  <c r="P237" i="17"/>
  <c r="P245" i="17"/>
  <c r="P253" i="17"/>
  <c r="P261" i="17"/>
  <c r="P269" i="17"/>
  <c r="P277" i="17"/>
  <c r="P285" i="17"/>
  <c r="P293" i="17"/>
  <c r="P301" i="17"/>
  <c r="P309" i="17"/>
  <c r="P317" i="17"/>
  <c r="P325" i="17"/>
  <c r="P333" i="17"/>
  <c r="P341" i="17"/>
  <c r="P349" i="17"/>
  <c r="P357" i="17"/>
  <c r="P365" i="17"/>
  <c r="P5" i="17"/>
  <c r="P37" i="17"/>
  <c r="P69" i="17"/>
  <c r="P101" i="17"/>
  <c r="P133" i="17"/>
  <c r="P162" i="17"/>
  <c r="P180" i="17"/>
  <c r="P196" i="17"/>
  <c r="P212" i="17"/>
  <c r="P222" i="17"/>
  <c r="P231" i="17"/>
  <c r="P239" i="17"/>
  <c r="P247" i="17"/>
  <c r="P255" i="17"/>
  <c r="P263" i="17"/>
  <c r="P271" i="17"/>
  <c r="P279" i="17"/>
  <c r="P287" i="17"/>
  <c r="P295" i="17"/>
  <c r="P303" i="17"/>
  <c r="P311" i="17"/>
  <c r="P319" i="17"/>
  <c r="P327" i="17"/>
  <c r="P335" i="17"/>
  <c r="P343" i="17"/>
  <c r="P351" i="17"/>
  <c r="P359" i="17"/>
  <c r="P13" i="17"/>
  <c r="P45" i="17"/>
  <c r="P77" i="17"/>
  <c r="P109" i="17"/>
  <c r="P141" i="17"/>
  <c r="P165" i="17"/>
  <c r="P185" i="17"/>
  <c r="P201" i="17"/>
  <c r="P216" i="17"/>
  <c r="P225" i="17"/>
  <c r="P233" i="17"/>
  <c r="P241" i="17"/>
  <c r="P249" i="17"/>
  <c r="P257" i="17"/>
  <c r="P265" i="17"/>
  <c r="P273" i="17"/>
  <c r="P281" i="17"/>
  <c r="P289" i="17"/>
  <c r="P297" i="17"/>
  <c r="P305" i="17"/>
  <c r="P313" i="17"/>
  <c r="P321" i="17"/>
  <c r="P329" i="17"/>
  <c r="P337" i="17"/>
  <c r="P345" i="17"/>
  <c r="P353" i="17"/>
  <c r="P361" i="17"/>
  <c r="P20" i="17"/>
  <c r="P52" i="17"/>
  <c r="P84" i="17"/>
  <c r="P116" i="17"/>
  <c r="P148" i="17"/>
  <c r="P170" i="17"/>
  <c r="P186" i="17"/>
  <c r="P202" i="17"/>
  <c r="P217" i="17"/>
  <c r="P226" i="17"/>
  <c r="P234" i="17"/>
  <c r="P242" i="17"/>
  <c r="P250" i="17"/>
  <c r="P258" i="17"/>
  <c r="P266" i="17"/>
  <c r="P274" i="17"/>
  <c r="P282" i="17"/>
  <c r="P290" i="17"/>
  <c r="P298" i="17"/>
  <c r="P306" i="17"/>
  <c r="P314" i="17"/>
  <c r="P322" i="17"/>
  <c r="P330" i="17"/>
  <c r="P338" i="17"/>
  <c r="P346" i="17"/>
  <c r="P354" i="17"/>
  <c r="P362" i="17"/>
  <c r="P4" i="17"/>
  <c r="P68" i="17"/>
  <c r="P132" i="17"/>
  <c r="P178" i="17"/>
  <c r="P210" i="17"/>
  <c r="P230" i="17"/>
  <c r="P246" i="17"/>
  <c r="P262" i="17"/>
  <c r="P278" i="17"/>
  <c r="P294" i="17"/>
  <c r="P310" i="17"/>
  <c r="P326" i="17"/>
  <c r="P342" i="17"/>
  <c r="P358" i="17"/>
  <c r="P21" i="17"/>
  <c r="P85" i="17"/>
  <c r="P149" i="17"/>
  <c r="P188" i="17"/>
  <c r="P218" i="17"/>
  <c r="P235" i="17"/>
  <c r="P251" i="17"/>
  <c r="P267" i="17"/>
  <c r="P283" i="17"/>
  <c r="P299" i="17"/>
  <c r="P315" i="17"/>
  <c r="P331" i="17"/>
  <c r="P347" i="17"/>
  <c r="P363" i="17"/>
  <c r="P36" i="17"/>
  <c r="P100" i="17"/>
  <c r="P157" i="17"/>
  <c r="P194" i="17"/>
  <c r="P221" i="17"/>
  <c r="P238" i="17"/>
  <c r="P254" i="17"/>
  <c r="P270" i="17"/>
  <c r="P286" i="17"/>
  <c r="P302" i="17"/>
  <c r="P318" i="17"/>
  <c r="P334" i="17"/>
  <c r="P350" i="17"/>
  <c r="P366" i="17"/>
  <c r="P44" i="17"/>
  <c r="P108" i="17"/>
  <c r="P164" i="17"/>
  <c r="P197" i="17"/>
  <c r="P224" i="17"/>
  <c r="P240" i="17"/>
  <c r="P256" i="17"/>
  <c r="P272" i="17"/>
  <c r="P288" i="17"/>
  <c r="P304" i="17"/>
  <c r="P320" i="17"/>
  <c r="P336" i="17"/>
  <c r="P352" i="17"/>
  <c r="P76" i="17"/>
  <c r="P181" i="17"/>
  <c r="P232" i="17"/>
  <c r="P264" i="17"/>
  <c r="P296" i="17"/>
  <c r="P328" i="17"/>
  <c r="P360" i="17"/>
  <c r="P117" i="17"/>
  <c r="P204" i="17"/>
  <c r="P243" i="17"/>
  <c r="P275" i="17"/>
  <c r="P307" i="17"/>
  <c r="P339" i="17"/>
  <c r="P12" i="17"/>
  <c r="P140" i="17"/>
  <c r="P213" i="17"/>
  <c r="P248" i="17"/>
  <c r="P280" i="17"/>
  <c r="P312" i="17"/>
  <c r="P344" i="17"/>
  <c r="P28" i="17"/>
  <c r="P154" i="17"/>
  <c r="P219" i="17"/>
  <c r="P252" i="17"/>
  <c r="P284" i="17"/>
  <c r="P316" i="17"/>
  <c r="P348" i="17"/>
  <c r="P92" i="17"/>
  <c r="P236" i="17"/>
  <c r="P300" i="17"/>
  <c r="P364" i="17"/>
  <c r="P172" i="17"/>
  <c r="P259" i="17"/>
  <c r="P323" i="17"/>
  <c r="P189" i="17"/>
  <c r="P268" i="17"/>
  <c r="P332" i="17"/>
  <c r="P205" i="17"/>
  <c r="P276" i="17"/>
  <c r="P340" i="17"/>
  <c r="P60" i="17"/>
  <c r="P292" i="17"/>
  <c r="P2" i="17"/>
  <c r="P124" i="17"/>
  <c r="P308" i="17"/>
  <c r="P291" i="17"/>
  <c r="P173" i="17"/>
  <c r="P324" i="17"/>
  <c r="P356" i="17"/>
  <c r="P53" i="17"/>
  <c r="P227" i="17"/>
  <c r="P355" i="17"/>
  <c r="P228" i="17"/>
  <c r="P244" i="17"/>
  <c r="P260" i="17"/>
  <c r="Q9" i="17"/>
  <c r="Q17" i="17"/>
  <c r="Q25" i="17"/>
  <c r="Q33" i="17"/>
  <c r="Q41" i="17"/>
  <c r="Q49" i="17"/>
  <c r="Q57" i="17"/>
  <c r="Q65" i="17"/>
  <c r="Q73" i="17"/>
  <c r="Q81" i="17"/>
  <c r="Q89" i="17"/>
  <c r="Q97" i="17"/>
  <c r="Q105" i="17"/>
  <c r="Q113" i="17"/>
  <c r="Q121" i="17"/>
  <c r="Q129" i="17"/>
  <c r="Q137" i="17"/>
  <c r="Q145" i="17"/>
  <c r="Q153" i="17"/>
  <c r="Q161" i="17"/>
  <c r="Q169" i="17"/>
  <c r="Q177" i="17"/>
  <c r="Q185" i="17"/>
  <c r="Q193" i="17"/>
  <c r="Q201" i="17"/>
  <c r="Q209" i="17"/>
  <c r="Q217" i="17"/>
  <c r="Q225" i="17"/>
  <c r="Q233" i="17"/>
  <c r="Q241" i="17"/>
  <c r="Q249" i="17"/>
  <c r="Q257" i="17"/>
  <c r="Q265" i="17"/>
  <c r="Q273" i="17"/>
  <c r="Q281" i="17"/>
  <c r="Q289" i="17"/>
  <c r="Q297" i="17"/>
  <c r="Q305" i="17"/>
  <c r="Q313" i="17"/>
  <c r="Q10" i="17"/>
  <c r="Q18" i="17"/>
  <c r="Q26" i="17"/>
  <c r="Q34" i="17"/>
  <c r="Q42" i="17"/>
  <c r="Q50" i="17"/>
  <c r="Q58" i="17"/>
  <c r="Q66" i="17"/>
  <c r="Q74" i="17"/>
  <c r="Q82" i="17"/>
  <c r="Q90" i="17"/>
  <c r="Q98" i="17"/>
  <c r="Q106" i="17"/>
  <c r="Q114" i="17"/>
  <c r="Q122" i="17"/>
  <c r="Q130" i="17"/>
  <c r="Q138" i="17"/>
  <c r="Q146" i="17"/>
  <c r="Q154" i="17"/>
  <c r="Q162" i="17"/>
  <c r="Q170" i="17"/>
  <c r="Q178" i="17"/>
  <c r="Q186" i="17"/>
  <c r="Q194" i="17"/>
  <c r="Q202" i="17"/>
  <c r="Q210" i="17"/>
  <c r="Q218" i="17"/>
  <c r="Q226" i="17"/>
  <c r="Q234" i="17"/>
  <c r="Q242" i="17"/>
  <c r="Q250" i="17"/>
  <c r="Q258" i="17"/>
  <c r="Q266" i="17"/>
  <c r="Q274" i="17"/>
  <c r="Q282" i="17"/>
  <c r="Q290" i="17"/>
  <c r="Q298" i="17"/>
  <c r="Q306" i="17"/>
  <c r="Q314" i="17"/>
  <c r="Q4" i="17"/>
  <c r="Q12" i="17"/>
  <c r="Q20" i="17"/>
  <c r="Q28" i="17"/>
  <c r="Q36" i="17"/>
  <c r="Q44" i="17"/>
  <c r="Q52" i="17"/>
  <c r="Q60" i="17"/>
  <c r="Q68" i="17"/>
  <c r="Q76" i="17"/>
  <c r="Q84" i="17"/>
  <c r="Q92" i="17"/>
  <c r="Q100" i="17"/>
  <c r="Q108" i="17"/>
  <c r="Q116" i="17"/>
  <c r="Q124" i="17"/>
  <c r="Q132" i="17"/>
  <c r="Q140" i="17"/>
  <c r="Q148" i="17"/>
  <c r="Q156" i="17"/>
  <c r="Q164" i="17"/>
  <c r="Q172" i="17"/>
  <c r="Q180" i="17"/>
  <c r="Q188" i="17"/>
  <c r="Q196" i="17"/>
  <c r="Q204" i="17"/>
  <c r="Q212" i="17"/>
  <c r="Q220" i="17"/>
  <c r="Q228" i="17"/>
  <c r="Q236" i="17"/>
  <c r="Q244" i="17"/>
  <c r="Q252" i="17"/>
  <c r="Q260" i="17"/>
  <c r="Q268" i="17"/>
  <c r="Q276" i="17"/>
  <c r="Q284" i="17"/>
  <c r="Q292" i="17"/>
  <c r="Q300" i="17"/>
  <c r="Q308" i="17"/>
  <c r="Q316" i="17"/>
  <c r="Q5" i="17"/>
  <c r="Q16" i="17"/>
  <c r="Q30" i="17"/>
  <c r="Q43" i="17"/>
  <c r="Q55" i="17"/>
  <c r="Q69" i="17"/>
  <c r="Q80" i="17"/>
  <c r="Q94" i="17"/>
  <c r="Q107" i="17"/>
  <c r="Q119" i="17"/>
  <c r="Q133" i="17"/>
  <c r="Q144" i="17"/>
  <c r="Q158" i="17"/>
  <c r="Q171" i="17"/>
  <c r="Q183" i="17"/>
  <c r="Q197" i="17"/>
  <c r="Q208" i="17"/>
  <c r="Q222" i="17"/>
  <c r="Q235" i="17"/>
  <c r="Q247" i="17"/>
  <c r="Q261" i="17"/>
  <c r="Q272" i="17"/>
  <c r="Q286" i="17"/>
  <c r="Q299" i="17"/>
  <c r="Q311" i="17"/>
  <c r="Q322" i="17"/>
  <c r="Q330" i="17"/>
  <c r="Q338" i="17"/>
  <c r="Q346" i="17"/>
  <c r="Q354" i="17"/>
  <c r="Q362" i="17"/>
  <c r="Q6" i="17"/>
  <c r="Q19" i="17"/>
  <c r="Q31" i="17"/>
  <c r="Q45" i="17"/>
  <c r="Q56" i="17"/>
  <c r="Q70" i="17"/>
  <c r="Q83" i="17"/>
  <c r="Q95" i="17"/>
  <c r="Q109" i="17"/>
  <c r="Q120" i="17"/>
  <c r="Q134" i="17"/>
  <c r="Q147" i="17"/>
  <c r="Q159" i="17"/>
  <c r="Q173" i="17"/>
  <c r="Q184" i="17"/>
  <c r="Q198" i="17"/>
  <c r="Q211" i="17"/>
  <c r="Q223" i="17"/>
  <c r="Q237" i="17"/>
  <c r="Q248" i="17"/>
  <c r="Q262" i="17"/>
  <c r="Q275" i="17"/>
  <c r="Q287" i="17"/>
  <c r="Q301" i="17"/>
  <c r="Q312" i="17"/>
  <c r="Q323" i="17"/>
  <c r="Q331" i="17"/>
  <c r="Q339" i="17"/>
  <c r="Q347" i="17"/>
  <c r="Q355" i="17"/>
  <c r="Q363" i="17"/>
  <c r="Q7" i="17"/>
  <c r="Q21" i="17"/>
  <c r="Q32" i="17"/>
  <c r="Q46" i="17"/>
  <c r="Q59" i="17"/>
  <c r="Q71" i="17"/>
  <c r="Q85" i="17"/>
  <c r="Q96" i="17"/>
  <c r="Q110" i="17"/>
  <c r="Q123" i="17"/>
  <c r="Q135" i="17"/>
  <c r="Q149" i="17"/>
  <c r="Q160" i="17"/>
  <c r="Q174" i="17"/>
  <c r="Q187" i="17"/>
  <c r="Q199" i="17"/>
  <c r="Q213" i="17"/>
  <c r="Q224" i="17"/>
  <c r="Q238" i="17"/>
  <c r="Q251" i="17"/>
  <c r="Q263" i="17"/>
  <c r="Q277" i="17"/>
  <c r="Q288" i="17"/>
  <c r="Q302" i="17"/>
  <c r="Q315" i="17"/>
  <c r="Q324" i="17"/>
  <c r="Q332" i="17"/>
  <c r="Q340" i="17"/>
  <c r="Q348" i="17"/>
  <c r="Q356" i="17"/>
  <c r="Q364" i="17"/>
  <c r="Q8" i="17"/>
  <c r="Q22" i="17"/>
  <c r="Q35" i="17"/>
  <c r="Q47" i="17"/>
  <c r="Q61" i="17"/>
  <c r="Q72" i="17"/>
  <c r="Q86" i="17"/>
  <c r="Q99" i="17"/>
  <c r="Q111" i="17"/>
  <c r="Q125" i="17"/>
  <c r="Q136" i="17"/>
  <c r="Q150" i="17"/>
  <c r="Q163" i="17"/>
  <c r="Q175" i="17"/>
  <c r="Q189" i="17"/>
  <c r="Q200" i="17"/>
  <c r="Q214" i="17"/>
  <c r="Q227" i="17"/>
  <c r="Q239" i="17"/>
  <c r="Q253" i="17"/>
  <c r="Q264" i="17"/>
  <c r="Q278" i="17"/>
  <c r="Q291" i="17"/>
  <c r="Q303" i="17"/>
  <c r="Q317" i="17"/>
  <c r="Q325" i="17"/>
  <c r="Q333" i="17"/>
  <c r="Q341" i="17"/>
  <c r="Q349" i="17"/>
  <c r="Q357" i="17"/>
  <c r="Q365" i="17"/>
  <c r="Q11" i="17"/>
  <c r="Q23" i="17"/>
  <c r="Q37" i="17"/>
  <c r="Q48" i="17"/>
  <c r="Q62" i="17"/>
  <c r="Q75" i="17"/>
  <c r="Q87" i="17"/>
  <c r="Q101" i="17"/>
  <c r="Q112" i="17"/>
  <c r="Q126" i="17"/>
  <c r="Q139" i="17"/>
  <c r="Q151" i="17"/>
  <c r="Q165" i="17"/>
  <c r="Q176" i="17"/>
  <c r="Q190" i="17"/>
  <c r="Q203" i="17"/>
  <c r="Q215" i="17"/>
  <c r="Q229" i="17"/>
  <c r="Q240" i="17"/>
  <c r="Q254" i="17"/>
  <c r="Q267" i="17"/>
  <c r="Q279" i="17"/>
  <c r="Q293" i="17"/>
  <c r="Q304" i="17"/>
  <c r="Q318" i="17"/>
  <c r="Q326" i="17"/>
  <c r="Q334" i="17"/>
  <c r="Q342" i="17"/>
  <c r="Q350" i="17"/>
  <c r="Q358" i="17"/>
  <c r="Q366" i="17"/>
  <c r="Q13" i="17"/>
  <c r="Q24" i="17"/>
  <c r="Q38" i="17"/>
  <c r="Q51" i="17"/>
  <c r="Q63" i="17"/>
  <c r="Q77" i="17"/>
  <c r="Q88" i="17"/>
  <c r="Q102" i="17"/>
  <c r="Q115" i="17"/>
  <c r="Q127" i="17"/>
  <c r="Q141" i="17"/>
  <c r="Q152" i="17"/>
  <c r="Q166" i="17"/>
  <c r="Q179" i="17"/>
  <c r="Q191" i="17"/>
  <c r="Q205" i="17"/>
  <c r="Q216" i="17"/>
  <c r="Q230" i="17"/>
  <c r="Q243" i="17"/>
  <c r="Q255" i="17"/>
  <c r="Q269" i="17"/>
  <c r="Q280" i="17"/>
  <c r="Q294" i="17"/>
  <c r="Q307" i="17"/>
  <c r="Q319" i="17"/>
  <c r="Q327" i="17"/>
  <c r="Q335" i="17"/>
  <c r="Q343" i="17"/>
  <c r="Q351" i="17"/>
  <c r="Q359" i="17"/>
  <c r="Q29" i="17"/>
  <c r="Q79" i="17"/>
  <c r="Q131" i="17"/>
  <c r="Q182" i="17"/>
  <c r="Q232" i="17"/>
  <c r="Q285" i="17"/>
  <c r="Q329" i="17"/>
  <c r="Q361" i="17"/>
  <c r="Q40" i="17"/>
  <c r="Q93" i="17"/>
  <c r="Q143" i="17"/>
  <c r="Q195" i="17"/>
  <c r="Q246" i="17"/>
  <c r="Q296" i="17"/>
  <c r="Q337" i="17"/>
  <c r="Q3" i="17"/>
  <c r="Q54" i="17"/>
  <c r="Q104" i="17"/>
  <c r="Q157" i="17"/>
  <c r="Q207" i="17"/>
  <c r="Q259" i="17"/>
  <c r="Q310" i="17"/>
  <c r="Q345" i="17"/>
  <c r="Q14" i="17"/>
  <c r="Q64" i="17"/>
  <c r="Q117" i="17"/>
  <c r="Q167" i="17"/>
  <c r="Q219" i="17"/>
  <c r="Q270" i="17"/>
  <c r="Q320" i="17"/>
  <c r="Q352" i="17"/>
  <c r="Q91" i="17"/>
  <c r="Q192" i="17"/>
  <c r="Q295" i="17"/>
  <c r="Q15" i="17"/>
  <c r="Q118" i="17"/>
  <c r="Q221" i="17"/>
  <c r="Q321" i="17"/>
  <c r="Q39" i="17"/>
  <c r="Q142" i="17"/>
  <c r="Q245" i="17"/>
  <c r="Q336" i="17"/>
  <c r="Q53" i="17"/>
  <c r="Q155" i="17"/>
  <c r="Q256" i="17"/>
  <c r="Q344" i="17"/>
  <c r="Q103" i="17"/>
  <c r="Q309" i="17"/>
  <c r="Q168" i="17"/>
  <c r="Q353" i="17"/>
  <c r="Q206" i="17"/>
  <c r="Q27" i="17"/>
  <c r="Q231" i="17"/>
  <c r="Q128" i="17"/>
  <c r="Q2" i="17"/>
  <c r="Q271" i="17"/>
  <c r="Q328" i="17"/>
  <c r="Q360" i="17"/>
  <c r="Q78" i="17"/>
  <c r="Q67" i="17"/>
  <c r="Q181" i="17"/>
  <c r="Q283" i="17"/>
  <c r="J8" i="17"/>
  <c r="J16" i="17"/>
  <c r="J24" i="17"/>
  <c r="J32" i="17"/>
  <c r="J40" i="17"/>
  <c r="J48" i="17"/>
  <c r="J56" i="17"/>
  <c r="J64" i="17"/>
  <c r="J72" i="17"/>
  <c r="J80" i="17"/>
  <c r="J88" i="17"/>
  <c r="J96" i="17"/>
  <c r="J104" i="17"/>
  <c r="J112" i="17"/>
  <c r="J120" i="17"/>
  <c r="J128" i="17"/>
  <c r="J136" i="17"/>
  <c r="J144" i="17"/>
  <c r="J152" i="17"/>
  <c r="J160" i="17"/>
  <c r="J168" i="17"/>
  <c r="J176" i="17"/>
  <c r="J184" i="17"/>
  <c r="J192" i="17"/>
  <c r="J200" i="17"/>
  <c r="J208" i="17"/>
  <c r="J216" i="17"/>
  <c r="J10" i="17"/>
  <c r="J18" i="17"/>
  <c r="J26" i="17"/>
  <c r="J34" i="17"/>
  <c r="J42" i="17"/>
  <c r="J50" i="17"/>
  <c r="J58" i="17"/>
  <c r="J66" i="17"/>
  <c r="J74" i="17"/>
  <c r="J82" i="17"/>
  <c r="J90" i="17"/>
  <c r="J98" i="17"/>
  <c r="J106" i="17"/>
  <c r="J114" i="17"/>
  <c r="J122" i="17"/>
  <c r="J130" i="17"/>
  <c r="J138" i="17"/>
  <c r="J146" i="17"/>
  <c r="J154" i="17"/>
  <c r="J162" i="17"/>
  <c r="J170" i="17"/>
  <c r="J178" i="17"/>
  <c r="J186" i="17"/>
  <c r="J194" i="17"/>
  <c r="J202" i="17"/>
  <c r="J210" i="17"/>
  <c r="J218" i="17"/>
  <c r="J4" i="17"/>
  <c r="J12" i="17"/>
  <c r="J20" i="17"/>
  <c r="J28" i="17"/>
  <c r="J36" i="17"/>
  <c r="J44" i="17"/>
  <c r="J52" i="17"/>
  <c r="J60" i="17"/>
  <c r="J68" i="17"/>
  <c r="J76" i="17"/>
  <c r="J84" i="17"/>
  <c r="J92" i="17"/>
  <c r="J100" i="17"/>
  <c r="J108" i="17"/>
  <c r="J116" i="17"/>
  <c r="J124" i="17"/>
  <c r="J132" i="17"/>
  <c r="J140" i="17"/>
  <c r="J148" i="17"/>
  <c r="J156" i="17"/>
  <c r="J164" i="17"/>
  <c r="J172" i="17"/>
  <c r="J180" i="17"/>
  <c r="J188" i="17"/>
  <c r="J196" i="17"/>
  <c r="J204" i="17"/>
  <c r="J212" i="17"/>
  <c r="J5" i="17"/>
  <c r="J13" i="17"/>
  <c r="J21" i="17"/>
  <c r="J29" i="17"/>
  <c r="J37" i="17"/>
  <c r="J45" i="17"/>
  <c r="J53" i="17"/>
  <c r="J61" i="17"/>
  <c r="J69" i="17"/>
  <c r="J77" i="17"/>
  <c r="J85" i="17"/>
  <c r="J93" i="17"/>
  <c r="J101" i="17"/>
  <c r="J109" i="17"/>
  <c r="J117" i="17"/>
  <c r="J125" i="17"/>
  <c r="J133" i="17"/>
  <c r="J141" i="17"/>
  <c r="J149" i="17"/>
  <c r="J157" i="17"/>
  <c r="J165" i="17"/>
  <c r="J173" i="17"/>
  <c r="J181" i="17"/>
  <c r="J189" i="17"/>
  <c r="J197" i="17"/>
  <c r="J205" i="17"/>
  <c r="J213" i="17"/>
  <c r="J15" i="17"/>
  <c r="J31" i="17"/>
  <c r="J47" i="17"/>
  <c r="J63" i="17"/>
  <c r="J79" i="17"/>
  <c r="J95" i="17"/>
  <c r="J111" i="17"/>
  <c r="J127" i="17"/>
  <c r="J143" i="17"/>
  <c r="J159" i="17"/>
  <c r="J175" i="17"/>
  <c r="J191" i="17"/>
  <c r="J207" i="17"/>
  <c r="J221" i="17"/>
  <c r="J229" i="17"/>
  <c r="J237" i="17"/>
  <c r="J245" i="17"/>
  <c r="J253" i="17"/>
  <c r="J261" i="17"/>
  <c r="J269" i="17"/>
  <c r="J277" i="17"/>
  <c r="J285" i="17"/>
  <c r="J293" i="17"/>
  <c r="J301" i="17"/>
  <c r="J309" i="17"/>
  <c r="J317" i="17"/>
  <c r="J325" i="17"/>
  <c r="J333" i="17"/>
  <c r="J341" i="17"/>
  <c r="J349" i="17"/>
  <c r="J357" i="17"/>
  <c r="J365" i="17"/>
  <c r="J7" i="17"/>
  <c r="J103" i="17"/>
  <c r="J167" i="17"/>
  <c r="J225" i="17"/>
  <c r="J265" i="17"/>
  <c r="J305" i="17"/>
  <c r="J345" i="17"/>
  <c r="J59" i="17"/>
  <c r="J171" i="17"/>
  <c r="J251" i="17"/>
  <c r="J299" i="17"/>
  <c r="J331" i="17"/>
  <c r="J17" i="17"/>
  <c r="J33" i="17"/>
  <c r="J49" i="17"/>
  <c r="J65" i="17"/>
  <c r="J81" i="17"/>
  <c r="J97" i="17"/>
  <c r="J113" i="17"/>
  <c r="J129" i="17"/>
  <c r="J145" i="17"/>
  <c r="J161" i="17"/>
  <c r="J177" i="17"/>
  <c r="J193" i="17"/>
  <c r="J209" i="17"/>
  <c r="J222" i="17"/>
  <c r="J230" i="17"/>
  <c r="J238" i="17"/>
  <c r="J246" i="17"/>
  <c r="J254" i="17"/>
  <c r="J262" i="17"/>
  <c r="J270" i="17"/>
  <c r="J278" i="17"/>
  <c r="J286" i="17"/>
  <c r="J294" i="17"/>
  <c r="J302" i="17"/>
  <c r="J310" i="17"/>
  <c r="J318" i="17"/>
  <c r="J326" i="17"/>
  <c r="J334" i="17"/>
  <c r="J342" i="17"/>
  <c r="J350" i="17"/>
  <c r="J358" i="17"/>
  <c r="J366" i="17"/>
  <c r="J87" i="17"/>
  <c r="J183" i="17"/>
  <c r="J249" i="17"/>
  <c r="J281" i="17"/>
  <c r="J313" i="17"/>
  <c r="J337" i="17"/>
  <c r="J107" i="17"/>
  <c r="J219" i="17"/>
  <c r="J267" i="17"/>
  <c r="J307" i="17"/>
  <c r="J347" i="17"/>
  <c r="J3" i="17"/>
  <c r="J19" i="17"/>
  <c r="J35" i="17"/>
  <c r="J51" i="17"/>
  <c r="J67" i="17"/>
  <c r="J83" i="17"/>
  <c r="J99" i="17"/>
  <c r="J115" i="17"/>
  <c r="J131" i="17"/>
  <c r="J147" i="17"/>
  <c r="J163" i="17"/>
  <c r="J179" i="17"/>
  <c r="J195" i="17"/>
  <c r="J211" i="17"/>
  <c r="J223" i="17"/>
  <c r="J231" i="17"/>
  <c r="J239" i="17"/>
  <c r="J247" i="17"/>
  <c r="J255" i="17"/>
  <c r="J263" i="17"/>
  <c r="J271" i="17"/>
  <c r="J279" i="17"/>
  <c r="J287" i="17"/>
  <c r="J295" i="17"/>
  <c r="J303" i="17"/>
  <c r="J311" i="17"/>
  <c r="J319" i="17"/>
  <c r="J327" i="17"/>
  <c r="J335" i="17"/>
  <c r="J343" i="17"/>
  <c r="J351" i="17"/>
  <c r="J359" i="17"/>
  <c r="J2" i="17"/>
  <c r="J23" i="17"/>
  <c r="J71" i="17"/>
  <c r="J135" i="17"/>
  <c r="J199" i="17"/>
  <c r="J233" i="17"/>
  <c r="J257" i="17"/>
  <c r="J289" i="17"/>
  <c r="J321" i="17"/>
  <c r="J353" i="17"/>
  <c r="J11" i="17"/>
  <c r="J75" i="17"/>
  <c r="J123" i="17"/>
  <c r="J187" i="17"/>
  <c r="J227" i="17"/>
  <c r="J259" i="17"/>
  <c r="J283" i="17"/>
  <c r="J323" i="17"/>
  <c r="J339" i="17"/>
  <c r="J6" i="17"/>
  <c r="J22" i="17"/>
  <c r="J38" i="17"/>
  <c r="J54" i="17"/>
  <c r="J70" i="17"/>
  <c r="J86" i="17"/>
  <c r="J102" i="17"/>
  <c r="J118" i="17"/>
  <c r="J134" i="17"/>
  <c r="J150" i="17"/>
  <c r="J166" i="17"/>
  <c r="J182" i="17"/>
  <c r="J198" i="17"/>
  <c r="J214" i="17"/>
  <c r="J224" i="17"/>
  <c r="J232" i="17"/>
  <c r="J240" i="17"/>
  <c r="J248" i="17"/>
  <c r="J256" i="17"/>
  <c r="J264" i="17"/>
  <c r="J272" i="17"/>
  <c r="J280" i="17"/>
  <c r="J288" i="17"/>
  <c r="J296" i="17"/>
  <c r="J304" i="17"/>
  <c r="J312" i="17"/>
  <c r="J320" i="17"/>
  <c r="J328" i="17"/>
  <c r="J336" i="17"/>
  <c r="J344" i="17"/>
  <c r="J352" i="17"/>
  <c r="J360" i="17"/>
  <c r="J39" i="17"/>
  <c r="J55" i="17"/>
  <c r="J119" i="17"/>
  <c r="J151" i="17"/>
  <c r="J215" i="17"/>
  <c r="J241" i="17"/>
  <c r="J273" i="17"/>
  <c r="J297" i="17"/>
  <c r="J329" i="17"/>
  <c r="J361" i="17"/>
  <c r="J27" i="17"/>
  <c r="J91" i="17"/>
  <c r="J139" i="17"/>
  <c r="J203" i="17"/>
  <c r="J235" i="17"/>
  <c r="J275" i="17"/>
  <c r="J315" i="17"/>
  <c r="J355" i="17"/>
  <c r="J9" i="17"/>
  <c r="J25" i="17"/>
  <c r="J41" i="17"/>
  <c r="J57" i="17"/>
  <c r="J73" i="17"/>
  <c r="J89" i="17"/>
  <c r="J105" i="17"/>
  <c r="J121" i="17"/>
  <c r="J137" i="17"/>
  <c r="J153" i="17"/>
  <c r="J169" i="17"/>
  <c r="J185" i="17"/>
  <c r="J201" i="17"/>
  <c r="J217" i="17"/>
  <c r="J226" i="17"/>
  <c r="J234" i="17"/>
  <c r="J242" i="17"/>
  <c r="J250" i="17"/>
  <c r="J258" i="17"/>
  <c r="J266" i="17"/>
  <c r="J274" i="17"/>
  <c r="J282" i="17"/>
  <c r="J290" i="17"/>
  <c r="J298" i="17"/>
  <c r="J306" i="17"/>
  <c r="J314" i="17"/>
  <c r="J322" i="17"/>
  <c r="J330" i="17"/>
  <c r="J338" i="17"/>
  <c r="J346" i="17"/>
  <c r="J354" i="17"/>
  <c r="J362" i="17"/>
  <c r="J43" i="17"/>
  <c r="J155" i="17"/>
  <c r="J243" i="17"/>
  <c r="J291" i="17"/>
  <c r="J363" i="17"/>
  <c r="J62" i="17"/>
  <c r="J190" i="17"/>
  <c r="J268" i="17"/>
  <c r="J332" i="17"/>
  <c r="J94" i="17"/>
  <c r="J284" i="17"/>
  <c r="J356" i="17"/>
  <c r="J364" i="17"/>
  <c r="J78" i="17"/>
  <c r="J206" i="17"/>
  <c r="J276" i="17"/>
  <c r="J340" i="17"/>
  <c r="J220" i="17"/>
  <c r="J348" i="17"/>
  <c r="J228" i="17"/>
  <c r="J300" i="17"/>
  <c r="J14" i="17"/>
  <c r="J142" i="17"/>
  <c r="J244" i="17"/>
  <c r="J308" i="17"/>
  <c r="J46" i="17"/>
  <c r="J260" i="17"/>
  <c r="J110" i="17"/>
  <c r="J126" i="17"/>
  <c r="J30" i="17"/>
  <c r="J158" i="17"/>
  <c r="J252" i="17"/>
  <c r="J316" i="17"/>
  <c r="J174" i="17"/>
  <c r="J324" i="17"/>
  <c r="J292" i="17"/>
  <c r="J236" i="17"/>
  <c r="R5" i="17"/>
  <c r="R13" i="17"/>
  <c r="R21" i="17"/>
  <c r="R29" i="17"/>
  <c r="R37" i="17"/>
  <c r="R45" i="17"/>
  <c r="R53" i="17"/>
  <c r="R61" i="17"/>
  <c r="R69" i="17"/>
  <c r="R77" i="17"/>
  <c r="R85" i="17"/>
  <c r="R93" i="17"/>
  <c r="R101" i="17"/>
  <c r="R109" i="17"/>
  <c r="R117" i="17"/>
  <c r="R125" i="17"/>
  <c r="R133" i="17"/>
  <c r="R141" i="17"/>
  <c r="R149" i="17"/>
  <c r="R157" i="17"/>
  <c r="R165" i="17"/>
  <c r="R173" i="17"/>
  <c r="R181" i="17"/>
  <c r="R189" i="17"/>
  <c r="R197" i="17"/>
  <c r="R205" i="17"/>
  <c r="R213" i="17"/>
  <c r="R221" i="17"/>
  <c r="R229" i="17"/>
  <c r="R237" i="17"/>
  <c r="R245" i="17"/>
  <c r="R253" i="17"/>
  <c r="R261" i="17"/>
  <c r="R269" i="17"/>
  <c r="R277" i="17"/>
  <c r="R285" i="17"/>
  <c r="R293" i="17"/>
  <c r="R301" i="17"/>
  <c r="R309" i="17"/>
  <c r="R317" i="17"/>
  <c r="R325" i="17"/>
  <c r="R333" i="17"/>
  <c r="R341" i="17"/>
  <c r="R349" i="17"/>
  <c r="R357" i="17"/>
  <c r="R365" i="17"/>
  <c r="R6" i="17"/>
  <c r="R14" i="17"/>
  <c r="R22" i="17"/>
  <c r="R30" i="17"/>
  <c r="R38" i="17"/>
  <c r="R46" i="17"/>
  <c r="R54" i="17"/>
  <c r="R62" i="17"/>
  <c r="R70" i="17"/>
  <c r="R78" i="17"/>
  <c r="R86" i="17"/>
  <c r="R94" i="17"/>
  <c r="R102" i="17"/>
  <c r="R110" i="17"/>
  <c r="R118" i="17"/>
  <c r="R126" i="17"/>
  <c r="R134" i="17"/>
  <c r="R142" i="17"/>
  <c r="R150" i="17"/>
  <c r="R158" i="17"/>
  <c r="R166" i="17"/>
  <c r="R174" i="17"/>
  <c r="R182" i="17"/>
  <c r="R190" i="17"/>
  <c r="R198" i="17"/>
  <c r="R206" i="17"/>
  <c r="R214" i="17"/>
  <c r="R222" i="17"/>
  <c r="R230" i="17"/>
  <c r="R238" i="17"/>
  <c r="R246" i="17"/>
  <c r="R254" i="17"/>
  <c r="R262" i="17"/>
  <c r="R270" i="17"/>
  <c r="R278" i="17"/>
  <c r="R286" i="17"/>
  <c r="R294" i="17"/>
  <c r="R302" i="17"/>
  <c r="R310" i="17"/>
  <c r="R318" i="17"/>
  <c r="R326" i="17"/>
  <c r="R334" i="17"/>
  <c r="R342" i="17"/>
  <c r="R350" i="17"/>
  <c r="R358" i="17"/>
  <c r="R366" i="17"/>
  <c r="R8" i="17"/>
  <c r="R16" i="17"/>
  <c r="R24" i="17"/>
  <c r="R32" i="17"/>
  <c r="R40" i="17"/>
  <c r="R48" i="17"/>
  <c r="R56" i="17"/>
  <c r="R64" i="17"/>
  <c r="R72" i="17"/>
  <c r="R80" i="17"/>
  <c r="R88" i="17"/>
  <c r="R96" i="17"/>
  <c r="R104" i="17"/>
  <c r="R112" i="17"/>
  <c r="R120" i="17"/>
  <c r="R128" i="17"/>
  <c r="R136" i="17"/>
  <c r="R144" i="17"/>
  <c r="R152" i="17"/>
  <c r="R160" i="17"/>
  <c r="R168" i="17"/>
  <c r="R176" i="17"/>
  <c r="R184" i="17"/>
  <c r="R192" i="17"/>
  <c r="R200" i="17"/>
  <c r="R208" i="17"/>
  <c r="R216" i="17"/>
  <c r="R224" i="17"/>
  <c r="R232" i="17"/>
  <c r="R240" i="17"/>
  <c r="R248" i="17"/>
  <c r="R256" i="17"/>
  <c r="R264" i="17"/>
  <c r="R272" i="17"/>
  <c r="R280" i="17"/>
  <c r="R288" i="17"/>
  <c r="R296" i="17"/>
  <c r="R304" i="17"/>
  <c r="R312" i="17"/>
  <c r="R320" i="17"/>
  <c r="R328" i="17"/>
  <c r="R336" i="17"/>
  <c r="R344" i="17"/>
  <c r="R352" i="17"/>
  <c r="R360" i="17"/>
  <c r="R3" i="17"/>
  <c r="R11" i="17"/>
  <c r="R19" i="17"/>
  <c r="R27" i="17"/>
  <c r="R35" i="17"/>
  <c r="R43" i="17"/>
  <c r="R51" i="17"/>
  <c r="R59" i="17"/>
  <c r="R67" i="17"/>
  <c r="R75" i="17"/>
  <c r="R83" i="17"/>
  <c r="R7" i="17"/>
  <c r="R23" i="17"/>
  <c r="R39" i="17"/>
  <c r="R55" i="17"/>
  <c r="R71" i="17"/>
  <c r="R87" i="17"/>
  <c r="R99" i="17"/>
  <c r="R113" i="17"/>
  <c r="R124" i="17"/>
  <c r="R138" i="17"/>
  <c r="R151" i="17"/>
  <c r="R163" i="17"/>
  <c r="R177" i="17"/>
  <c r="R188" i="17"/>
  <c r="R202" i="17"/>
  <c r="R215" i="17"/>
  <c r="R227" i="17"/>
  <c r="R241" i="17"/>
  <c r="R252" i="17"/>
  <c r="R266" i="17"/>
  <c r="R279" i="17"/>
  <c r="R291" i="17"/>
  <c r="R305" i="17"/>
  <c r="R316" i="17"/>
  <c r="R330" i="17"/>
  <c r="R343" i="17"/>
  <c r="R355" i="17"/>
  <c r="R9" i="17"/>
  <c r="R25" i="17"/>
  <c r="R41" i="17"/>
  <c r="R57" i="17"/>
  <c r="R73" i="17"/>
  <c r="R89" i="17"/>
  <c r="R100" i="17"/>
  <c r="R114" i="17"/>
  <c r="R127" i="17"/>
  <c r="R139" i="17"/>
  <c r="R153" i="17"/>
  <c r="R164" i="17"/>
  <c r="R178" i="17"/>
  <c r="R191" i="17"/>
  <c r="R203" i="17"/>
  <c r="R217" i="17"/>
  <c r="R228" i="17"/>
  <c r="R242" i="17"/>
  <c r="R255" i="17"/>
  <c r="R267" i="17"/>
  <c r="R281" i="17"/>
  <c r="R292" i="17"/>
  <c r="R306" i="17"/>
  <c r="R319" i="17"/>
  <c r="R331" i="17"/>
  <c r="R345" i="17"/>
  <c r="R356" i="17"/>
  <c r="R10" i="17"/>
  <c r="R26" i="17"/>
  <c r="R42" i="17"/>
  <c r="R58" i="17"/>
  <c r="R74" i="17"/>
  <c r="R90" i="17"/>
  <c r="R103" i="17"/>
  <c r="R115" i="17"/>
  <c r="R129" i="17"/>
  <c r="R140" i="17"/>
  <c r="R154" i="17"/>
  <c r="R167" i="17"/>
  <c r="R179" i="17"/>
  <c r="R193" i="17"/>
  <c r="R204" i="17"/>
  <c r="R218" i="17"/>
  <c r="R231" i="17"/>
  <c r="R243" i="17"/>
  <c r="R257" i="17"/>
  <c r="R268" i="17"/>
  <c r="R282" i="17"/>
  <c r="R295" i="17"/>
  <c r="R307" i="17"/>
  <c r="R321" i="17"/>
  <c r="R332" i="17"/>
  <c r="R346" i="17"/>
  <c r="R359" i="17"/>
  <c r="R12" i="17"/>
  <c r="R28" i="17"/>
  <c r="R44" i="17"/>
  <c r="R60" i="17"/>
  <c r="R76" i="17"/>
  <c r="R91" i="17"/>
  <c r="R105" i="17"/>
  <c r="R116" i="17"/>
  <c r="R130" i="17"/>
  <c r="R143" i="17"/>
  <c r="R155" i="17"/>
  <c r="R169" i="17"/>
  <c r="R180" i="17"/>
  <c r="R194" i="17"/>
  <c r="R207" i="17"/>
  <c r="R219" i="17"/>
  <c r="R233" i="17"/>
  <c r="R244" i="17"/>
  <c r="R258" i="17"/>
  <c r="R271" i="17"/>
  <c r="R283" i="17"/>
  <c r="R297" i="17"/>
  <c r="R308" i="17"/>
  <c r="R322" i="17"/>
  <c r="R335" i="17"/>
  <c r="R347" i="17"/>
  <c r="R361" i="17"/>
  <c r="R15" i="17"/>
  <c r="R31" i="17"/>
  <c r="R47" i="17"/>
  <c r="R63" i="17"/>
  <c r="R79" i="17"/>
  <c r="R92" i="17"/>
  <c r="R106" i="17"/>
  <c r="R119" i="17"/>
  <c r="R131" i="17"/>
  <c r="R145" i="17"/>
  <c r="R156" i="17"/>
  <c r="R170" i="17"/>
  <c r="R183" i="17"/>
  <c r="R195" i="17"/>
  <c r="R209" i="17"/>
  <c r="R220" i="17"/>
  <c r="R234" i="17"/>
  <c r="R247" i="17"/>
  <c r="R259" i="17"/>
  <c r="R273" i="17"/>
  <c r="R284" i="17"/>
  <c r="R298" i="17"/>
  <c r="R311" i="17"/>
  <c r="R323" i="17"/>
  <c r="R337" i="17"/>
  <c r="R348" i="17"/>
  <c r="R362" i="17"/>
  <c r="R17" i="17"/>
  <c r="R33" i="17"/>
  <c r="R49" i="17"/>
  <c r="R65" i="17"/>
  <c r="R81" i="17"/>
  <c r="R95" i="17"/>
  <c r="R107" i="17"/>
  <c r="R121" i="17"/>
  <c r="R132" i="17"/>
  <c r="R146" i="17"/>
  <c r="R159" i="17"/>
  <c r="R171" i="17"/>
  <c r="R185" i="17"/>
  <c r="R196" i="17"/>
  <c r="R210" i="17"/>
  <c r="R223" i="17"/>
  <c r="R235" i="17"/>
  <c r="R249" i="17"/>
  <c r="R260" i="17"/>
  <c r="R274" i="17"/>
  <c r="R287" i="17"/>
  <c r="R299" i="17"/>
  <c r="R313" i="17"/>
  <c r="R324" i="17"/>
  <c r="R338" i="17"/>
  <c r="R351" i="17"/>
  <c r="R363" i="17"/>
  <c r="R20" i="17"/>
  <c r="R84" i="17"/>
  <c r="R137" i="17"/>
  <c r="R187" i="17"/>
  <c r="R239" i="17"/>
  <c r="R290" i="17"/>
  <c r="R340" i="17"/>
  <c r="R36" i="17"/>
  <c r="R98" i="17"/>
  <c r="R148" i="17"/>
  <c r="R201" i="17"/>
  <c r="R251" i="17"/>
  <c r="R303" i="17"/>
  <c r="R354" i="17"/>
  <c r="R52" i="17"/>
  <c r="R111" i="17"/>
  <c r="R162" i="17"/>
  <c r="R212" i="17"/>
  <c r="R265" i="17"/>
  <c r="R315" i="17"/>
  <c r="R66" i="17"/>
  <c r="R122" i="17"/>
  <c r="R172" i="17"/>
  <c r="R225" i="17"/>
  <c r="R275" i="17"/>
  <c r="R327" i="17"/>
  <c r="R34" i="17"/>
  <c r="R147" i="17"/>
  <c r="R250" i="17"/>
  <c r="R353" i="17"/>
  <c r="R68" i="17"/>
  <c r="R175" i="17"/>
  <c r="R276" i="17"/>
  <c r="R97" i="17"/>
  <c r="R199" i="17"/>
  <c r="R300" i="17"/>
  <c r="R108" i="17"/>
  <c r="R211" i="17"/>
  <c r="R314" i="17"/>
  <c r="R50" i="17"/>
  <c r="R263" i="17"/>
  <c r="R123" i="17"/>
  <c r="R329" i="17"/>
  <c r="R161" i="17"/>
  <c r="R364" i="17"/>
  <c r="R186" i="17"/>
  <c r="R82" i="17"/>
  <c r="R226" i="17"/>
  <c r="R289" i="17"/>
  <c r="R339" i="17"/>
  <c r="R18" i="17"/>
  <c r="R135" i="17"/>
  <c r="R2" i="17"/>
  <c r="R236" i="17"/>
  <c r="R4" i="17"/>
  <c r="K4" i="17"/>
  <c r="K12" i="17"/>
  <c r="K20" i="17"/>
  <c r="K28" i="17"/>
  <c r="K36" i="17"/>
  <c r="K44" i="17"/>
  <c r="K52" i="17"/>
  <c r="K60" i="17"/>
  <c r="K68" i="17"/>
  <c r="K76" i="17"/>
  <c r="K84" i="17"/>
  <c r="K92" i="17"/>
  <c r="K100" i="17"/>
  <c r="K108" i="17"/>
  <c r="K116" i="17"/>
  <c r="K124" i="17"/>
  <c r="K132" i="17"/>
  <c r="K140" i="17"/>
  <c r="K148" i="17"/>
  <c r="K156" i="17"/>
  <c r="K164" i="17"/>
  <c r="K172" i="17"/>
  <c r="K180" i="17"/>
  <c r="K188" i="17"/>
  <c r="K196" i="17"/>
  <c r="K204" i="17"/>
  <c r="K212" i="17"/>
  <c r="K220" i="17"/>
  <c r="K228" i="17"/>
  <c r="K236" i="17"/>
  <c r="K244" i="17"/>
  <c r="K252" i="17"/>
  <c r="K260" i="17"/>
  <c r="K268" i="17"/>
  <c r="K276" i="17"/>
  <c r="K284" i="17"/>
  <c r="K292" i="17"/>
  <c r="K300" i="17"/>
  <c r="K308" i="17"/>
  <c r="K316" i="17"/>
  <c r="K324" i="17"/>
  <c r="K332" i="17"/>
  <c r="K340" i="17"/>
  <c r="K348" i="17"/>
  <c r="K356" i="17"/>
  <c r="K364" i="17"/>
  <c r="K6" i="17"/>
  <c r="K14" i="17"/>
  <c r="K22" i="17"/>
  <c r="K30" i="17"/>
  <c r="K38" i="17"/>
  <c r="K46" i="17"/>
  <c r="K54" i="17"/>
  <c r="K62" i="17"/>
  <c r="K70" i="17"/>
  <c r="K78" i="17"/>
  <c r="K86" i="17"/>
  <c r="K94" i="17"/>
  <c r="K102" i="17"/>
  <c r="K110" i="17"/>
  <c r="K118" i="17"/>
  <c r="K126" i="17"/>
  <c r="K134" i="17"/>
  <c r="K142" i="17"/>
  <c r="K150" i="17"/>
  <c r="K158" i="17"/>
  <c r="K166" i="17"/>
  <c r="K174" i="17"/>
  <c r="K182" i="17"/>
  <c r="K190" i="17"/>
  <c r="K198" i="17"/>
  <c r="K206" i="17"/>
  <c r="K214" i="17"/>
  <c r="K222" i="17"/>
  <c r="K230" i="17"/>
  <c r="K238" i="17"/>
  <c r="K246" i="17"/>
  <c r="K254" i="17"/>
  <c r="K262" i="17"/>
  <c r="K270" i="17"/>
  <c r="K278" i="17"/>
  <c r="K286" i="17"/>
  <c r="K294" i="17"/>
  <c r="K302" i="17"/>
  <c r="K310" i="17"/>
  <c r="K318" i="17"/>
  <c r="K326" i="17"/>
  <c r="K334" i="17"/>
  <c r="K342" i="17"/>
  <c r="K350" i="17"/>
  <c r="K358" i="17"/>
  <c r="K366" i="17"/>
  <c r="K2" i="17"/>
  <c r="K8" i="17"/>
  <c r="K16" i="17"/>
  <c r="K24" i="17"/>
  <c r="K32" i="17"/>
  <c r="K40" i="17"/>
  <c r="K48" i="17"/>
  <c r="K56" i="17"/>
  <c r="K64" i="17"/>
  <c r="K72" i="17"/>
  <c r="K80" i="17"/>
  <c r="K88" i="17"/>
  <c r="K96" i="17"/>
  <c r="K104" i="17"/>
  <c r="K112" i="17"/>
  <c r="K120" i="17"/>
  <c r="K128" i="17"/>
  <c r="K136" i="17"/>
  <c r="K144" i="17"/>
  <c r="K152" i="17"/>
  <c r="K160" i="17"/>
  <c r="K168" i="17"/>
  <c r="K176" i="17"/>
  <c r="K184" i="17"/>
  <c r="K192" i="17"/>
  <c r="K200" i="17"/>
  <c r="K208" i="17"/>
  <c r="K216" i="17"/>
  <c r="K224" i="17"/>
  <c r="K232" i="17"/>
  <c r="K240" i="17"/>
  <c r="K248" i="17"/>
  <c r="K256" i="17"/>
  <c r="K264" i="17"/>
  <c r="K272" i="17"/>
  <c r="K280" i="17"/>
  <c r="K288" i="17"/>
  <c r="K296" i="17"/>
  <c r="K304" i="17"/>
  <c r="K312" i="17"/>
  <c r="K320" i="17"/>
  <c r="K328" i="17"/>
  <c r="K336" i="17"/>
  <c r="K344" i="17"/>
  <c r="K352" i="17"/>
  <c r="K360" i="17"/>
  <c r="K9" i="17"/>
  <c r="K17" i="17"/>
  <c r="K25" i="17"/>
  <c r="K33" i="17"/>
  <c r="K41" i="17"/>
  <c r="K49" i="17"/>
  <c r="K57" i="17"/>
  <c r="K65" i="17"/>
  <c r="K73" i="17"/>
  <c r="K81" i="17"/>
  <c r="K89" i="17"/>
  <c r="K97" i="17"/>
  <c r="K105" i="17"/>
  <c r="K113" i="17"/>
  <c r="K121" i="17"/>
  <c r="K129" i="17"/>
  <c r="K137" i="17"/>
  <c r="K145" i="17"/>
  <c r="K153" i="17"/>
  <c r="K161" i="17"/>
  <c r="K169" i="17"/>
  <c r="K177" i="17"/>
  <c r="K185" i="17"/>
  <c r="K193" i="17"/>
  <c r="K201" i="17"/>
  <c r="K209" i="17"/>
  <c r="K217" i="17"/>
  <c r="K225" i="17"/>
  <c r="K233" i="17"/>
  <c r="K241" i="17"/>
  <c r="K249" i="17"/>
  <c r="K257" i="17"/>
  <c r="K265" i="17"/>
  <c r="K273" i="17"/>
  <c r="K281" i="17"/>
  <c r="K289" i="17"/>
  <c r="K297" i="17"/>
  <c r="K305" i="17"/>
  <c r="K313" i="17"/>
  <c r="K321" i="17"/>
  <c r="K329" i="17"/>
  <c r="K337" i="17"/>
  <c r="K345" i="17"/>
  <c r="K353" i="17"/>
  <c r="K361" i="17"/>
  <c r="K3" i="17"/>
  <c r="K19" i="17"/>
  <c r="K35" i="17"/>
  <c r="K51" i="17"/>
  <c r="K67" i="17"/>
  <c r="K83" i="17"/>
  <c r="K99" i="17"/>
  <c r="K115" i="17"/>
  <c r="K131" i="17"/>
  <c r="K147" i="17"/>
  <c r="K163" i="17"/>
  <c r="K179" i="17"/>
  <c r="K195" i="17"/>
  <c r="K211" i="17"/>
  <c r="K227" i="17"/>
  <c r="K243" i="17"/>
  <c r="K259" i="17"/>
  <c r="K275" i="17"/>
  <c r="K291" i="17"/>
  <c r="K307" i="17"/>
  <c r="K323" i="17"/>
  <c r="K339" i="17"/>
  <c r="K355" i="17"/>
  <c r="K59" i="17"/>
  <c r="K123" i="17"/>
  <c r="K187" i="17"/>
  <c r="K267" i="17"/>
  <c r="K315" i="17"/>
  <c r="K159" i="17"/>
  <c r="K303" i="17"/>
  <c r="K18" i="17"/>
  <c r="K5" i="17"/>
  <c r="K21" i="17"/>
  <c r="K37" i="17"/>
  <c r="K53" i="17"/>
  <c r="K69" i="17"/>
  <c r="K85" i="17"/>
  <c r="K101" i="17"/>
  <c r="K117" i="17"/>
  <c r="K133" i="17"/>
  <c r="K149" i="17"/>
  <c r="K165" i="17"/>
  <c r="K181" i="17"/>
  <c r="K197" i="17"/>
  <c r="K213" i="17"/>
  <c r="K229" i="17"/>
  <c r="K245" i="17"/>
  <c r="K261" i="17"/>
  <c r="K277" i="17"/>
  <c r="K293" i="17"/>
  <c r="K309" i="17"/>
  <c r="K325" i="17"/>
  <c r="K341" i="17"/>
  <c r="K357" i="17"/>
  <c r="K43" i="17"/>
  <c r="K219" i="17"/>
  <c r="K363" i="17"/>
  <c r="K191" i="17"/>
  <c r="K287" i="17"/>
  <c r="K7" i="17"/>
  <c r="K23" i="17"/>
  <c r="K39" i="17"/>
  <c r="K55" i="17"/>
  <c r="K71" i="17"/>
  <c r="K87" i="17"/>
  <c r="K103" i="17"/>
  <c r="K119" i="17"/>
  <c r="K135" i="17"/>
  <c r="K151" i="17"/>
  <c r="K167" i="17"/>
  <c r="K183" i="17"/>
  <c r="K199" i="17"/>
  <c r="K215" i="17"/>
  <c r="K231" i="17"/>
  <c r="K247" i="17"/>
  <c r="K263" i="17"/>
  <c r="K279" i="17"/>
  <c r="K295" i="17"/>
  <c r="K311" i="17"/>
  <c r="K327" i="17"/>
  <c r="K343" i="17"/>
  <c r="K359" i="17"/>
  <c r="K11" i="17"/>
  <c r="K75" i="17"/>
  <c r="K139" i="17"/>
  <c r="K171" i="17"/>
  <c r="K235" i="17"/>
  <c r="K283" i="17"/>
  <c r="K331" i="17"/>
  <c r="K79" i="17"/>
  <c r="K127" i="17"/>
  <c r="K207" i="17"/>
  <c r="K255" i="17"/>
  <c r="K335" i="17"/>
  <c r="K10" i="17"/>
  <c r="K26" i="17"/>
  <c r="K42" i="17"/>
  <c r="K58" i="17"/>
  <c r="K74" i="17"/>
  <c r="K90" i="17"/>
  <c r="K106" i="17"/>
  <c r="K122" i="17"/>
  <c r="K138" i="17"/>
  <c r="K154" i="17"/>
  <c r="K170" i="17"/>
  <c r="K186" i="17"/>
  <c r="K202" i="17"/>
  <c r="K218" i="17"/>
  <c r="K234" i="17"/>
  <c r="K250" i="17"/>
  <c r="K266" i="17"/>
  <c r="K282" i="17"/>
  <c r="K298" i="17"/>
  <c r="K314" i="17"/>
  <c r="K330" i="17"/>
  <c r="K346" i="17"/>
  <c r="K362" i="17"/>
  <c r="K27" i="17"/>
  <c r="K91" i="17"/>
  <c r="K107" i="17"/>
  <c r="K155" i="17"/>
  <c r="K203" i="17"/>
  <c r="K251" i="17"/>
  <c r="K299" i="17"/>
  <c r="K347" i="17"/>
  <c r="K95" i="17"/>
  <c r="K175" i="17"/>
  <c r="K239" i="17"/>
  <c r="K271" i="17"/>
  <c r="K351" i="17"/>
  <c r="K13" i="17"/>
  <c r="K29" i="17"/>
  <c r="K45" i="17"/>
  <c r="K61" i="17"/>
  <c r="K77" i="17"/>
  <c r="K93" i="17"/>
  <c r="K109" i="17"/>
  <c r="K125" i="17"/>
  <c r="K141" i="17"/>
  <c r="K157" i="17"/>
  <c r="K173" i="17"/>
  <c r="K189" i="17"/>
  <c r="K205" i="17"/>
  <c r="K221" i="17"/>
  <c r="K237" i="17"/>
  <c r="K253" i="17"/>
  <c r="K269" i="17"/>
  <c r="K285" i="17"/>
  <c r="K301" i="17"/>
  <c r="K317" i="17"/>
  <c r="K333" i="17"/>
  <c r="K349" i="17"/>
  <c r="K365" i="17"/>
  <c r="K15" i="17"/>
  <c r="K31" i="17"/>
  <c r="K47" i="17"/>
  <c r="K63" i="17"/>
  <c r="K111" i="17"/>
  <c r="K143" i="17"/>
  <c r="K223" i="17"/>
  <c r="K319" i="17"/>
  <c r="K50" i="17"/>
  <c r="K178" i="17"/>
  <c r="K306" i="17"/>
  <c r="K210" i="17"/>
  <c r="K354" i="17"/>
  <c r="K66" i="17"/>
  <c r="K194" i="17"/>
  <c r="K322" i="17"/>
  <c r="K82" i="17"/>
  <c r="K338" i="17"/>
  <c r="K98" i="17"/>
  <c r="K242" i="17"/>
  <c r="K130" i="17"/>
  <c r="K258" i="17"/>
  <c r="K162" i="17"/>
  <c r="K146" i="17"/>
  <c r="K274" i="17"/>
  <c r="K34" i="17"/>
  <c r="K290" i="17"/>
  <c r="K226" i="17"/>
  <c r="K114" i="17"/>
  <c r="L8" i="17"/>
  <c r="L16" i="17"/>
  <c r="L24" i="17"/>
  <c r="L32" i="17"/>
  <c r="L40" i="17"/>
  <c r="L48" i="17"/>
  <c r="L56" i="17"/>
  <c r="L64" i="17"/>
  <c r="L72" i="17"/>
  <c r="L80" i="17"/>
  <c r="L88" i="17"/>
  <c r="L96" i="17"/>
  <c r="L104" i="17"/>
  <c r="L112" i="17"/>
  <c r="L120" i="17"/>
  <c r="L128" i="17"/>
  <c r="L136" i="17"/>
  <c r="L144" i="17"/>
  <c r="L152" i="17"/>
  <c r="L160" i="17"/>
  <c r="L168" i="17"/>
  <c r="L176" i="17"/>
  <c r="L184" i="17"/>
  <c r="L192" i="17"/>
  <c r="L200" i="17"/>
  <c r="L208" i="17"/>
  <c r="L216" i="17"/>
  <c r="L224" i="17"/>
  <c r="L232" i="17"/>
  <c r="L240" i="17"/>
  <c r="L248" i="17"/>
  <c r="L256" i="17"/>
  <c r="L264" i="17"/>
  <c r="L272" i="17"/>
  <c r="L280" i="17"/>
  <c r="L288" i="17"/>
  <c r="L296" i="17"/>
  <c r="L304" i="17"/>
  <c r="L312" i="17"/>
  <c r="L320" i="17"/>
  <c r="L328" i="17"/>
  <c r="L336" i="17"/>
  <c r="L344" i="17"/>
  <c r="L352" i="17"/>
  <c r="L360" i="17"/>
  <c r="L10" i="17"/>
  <c r="L18" i="17"/>
  <c r="L26" i="17"/>
  <c r="L34" i="17"/>
  <c r="L42" i="17"/>
  <c r="L50" i="17"/>
  <c r="L58" i="17"/>
  <c r="L66" i="17"/>
  <c r="L74" i="17"/>
  <c r="L82" i="17"/>
  <c r="L90" i="17"/>
  <c r="L98" i="17"/>
  <c r="L106" i="17"/>
  <c r="L114" i="17"/>
  <c r="L122" i="17"/>
  <c r="L130" i="17"/>
  <c r="L138" i="17"/>
  <c r="L146" i="17"/>
  <c r="L154" i="17"/>
  <c r="L162" i="17"/>
  <c r="L170" i="17"/>
  <c r="L178" i="17"/>
  <c r="L186" i="17"/>
  <c r="L194" i="17"/>
  <c r="L202" i="17"/>
  <c r="L210" i="17"/>
  <c r="L218" i="17"/>
  <c r="L226" i="17"/>
  <c r="L234" i="17"/>
  <c r="L242" i="17"/>
  <c r="L250" i="17"/>
  <c r="L258" i="17"/>
  <c r="L266" i="17"/>
  <c r="L274" i="17"/>
  <c r="L282" i="17"/>
  <c r="L290" i="17"/>
  <c r="L298" i="17"/>
  <c r="L306" i="17"/>
  <c r="L314" i="17"/>
  <c r="L322" i="17"/>
  <c r="L330" i="17"/>
  <c r="L338" i="17"/>
  <c r="L346" i="17"/>
  <c r="L354" i="17"/>
  <c r="L362" i="17"/>
  <c r="L4" i="17"/>
  <c r="L12" i="17"/>
  <c r="L20" i="17"/>
  <c r="L28" i="17"/>
  <c r="L36" i="17"/>
  <c r="L44" i="17"/>
  <c r="L52" i="17"/>
  <c r="L60" i="17"/>
  <c r="L68" i="17"/>
  <c r="L76" i="17"/>
  <c r="L84" i="17"/>
  <c r="L92" i="17"/>
  <c r="L100" i="17"/>
  <c r="L108" i="17"/>
  <c r="L116" i="17"/>
  <c r="L124" i="17"/>
  <c r="L132" i="17"/>
  <c r="L140" i="17"/>
  <c r="L148" i="17"/>
  <c r="L156" i="17"/>
  <c r="L164" i="17"/>
  <c r="L172" i="17"/>
  <c r="L180" i="17"/>
  <c r="L188" i="17"/>
  <c r="L196" i="17"/>
  <c r="L204" i="17"/>
  <c r="L212" i="17"/>
  <c r="L220" i="17"/>
  <c r="L228" i="17"/>
  <c r="L236" i="17"/>
  <c r="L244" i="17"/>
  <c r="L252" i="17"/>
  <c r="L260" i="17"/>
  <c r="L268" i="17"/>
  <c r="L276" i="17"/>
  <c r="L284" i="17"/>
  <c r="L292" i="17"/>
  <c r="L300" i="17"/>
  <c r="L308" i="17"/>
  <c r="L316" i="17"/>
  <c r="L324" i="17"/>
  <c r="L332" i="17"/>
  <c r="L340" i="17"/>
  <c r="L348" i="17"/>
  <c r="L356" i="17"/>
  <c r="L364" i="17"/>
  <c r="L5" i="17"/>
  <c r="L13" i="17"/>
  <c r="L21" i="17"/>
  <c r="L29" i="17"/>
  <c r="L37" i="17"/>
  <c r="L45" i="17"/>
  <c r="L53" i="17"/>
  <c r="L61" i="17"/>
  <c r="L69" i="17"/>
  <c r="L77" i="17"/>
  <c r="L85" i="17"/>
  <c r="L93" i="17"/>
  <c r="L101" i="17"/>
  <c r="L109" i="17"/>
  <c r="L117" i="17"/>
  <c r="L125" i="17"/>
  <c r="L133" i="17"/>
  <c r="L141" i="17"/>
  <c r="L149" i="17"/>
  <c r="L157" i="17"/>
  <c r="L165" i="17"/>
  <c r="L173" i="17"/>
  <c r="L181" i="17"/>
  <c r="L189" i="17"/>
  <c r="L197" i="17"/>
  <c r="L205" i="17"/>
  <c r="L213" i="17"/>
  <c r="L221" i="17"/>
  <c r="L229" i="17"/>
  <c r="L237" i="17"/>
  <c r="L245" i="17"/>
  <c r="L253" i="17"/>
  <c r="L261" i="17"/>
  <c r="L269" i="17"/>
  <c r="L277" i="17"/>
  <c r="L285" i="17"/>
  <c r="L293" i="17"/>
  <c r="L301" i="17"/>
  <c r="L309" i="17"/>
  <c r="L317" i="17"/>
  <c r="L325" i="17"/>
  <c r="L333" i="17"/>
  <c r="L341" i="17"/>
  <c r="L349" i="17"/>
  <c r="L357" i="17"/>
  <c r="L365" i="17"/>
  <c r="L15" i="17"/>
  <c r="L31" i="17"/>
  <c r="L47" i="17"/>
  <c r="L63" i="17"/>
  <c r="L79" i="17"/>
  <c r="L95" i="17"/>
  <c r="L111" i="17"/>
  <c r="L127" i="17"/>
  <c r="L143" i="17"/>
  <c r="L159" i="17"/>
  <c r="L175" i="17"/>
  <c r="L191" i="17"/>
  <c r="L207" i="17"/>
  <c r="L223" i="17"/>
  <c r="L239" i="17"/>
  <c r="L255" i="17"/>
  <c r="L271" i="17"/>
  <c r="L287" i="17"/>
  <c r="L303" i="17"/>
  <c r="L319" i="17"/>
  <c r="L335" i="17"/>
  <c r="L351" i="17"/>
  <c r="L71" i="17"/>
  <c r="L199" i="17"/>
  <c r="L279" i="17"/>
  <c r="L359" i="17"/>
  <c r="L267" i="17"/>
  <c r="L94" i="17"/>
  <c r="L206" i="17"/>
  <c r="L286" i="17"/>
  <c r="L17" i="17"/>
  <c r="L33" i="17"/>
  <c r="L49" i="17"/>
  <c r="L65" i="17"/>
  <c r="L81" i="17"/>
  <c r="L97" i="17"/>
  <c r="L113" i="17"/>
  <c r="L129" i="17"/>
  <c r="L145" i="17"/>
  <c r="L161" i="17"/>
  <c r="L177" i="17"/>
  <c r="L193" i="17"/>
  <c r="L209" i="17"/>
  <c r="L225" i="17"/>
  <c r="L241" i="17"/>
  <c r="L257" i="17"/>
  <c r="L273" i="17"/>
  <c r="L289" i="17"/>
  <c r="L305" i="17"/>
  <c r="L321" i="17"/>
  <c r="L337" i="17"/>
  <c r="L353" i="17"/>
  <c r="L151" i="17"/>
  <c r="L299" i="17"/>
  <c r="L2" i="17"/>
  <c r="L142" i="17"/>
  <c r="L270" i="17"/>
  <c r="L3" i="17"/>
  <c r="L19" i="17"/>
  <c r="L35" i="17"/>
  <c r="L51" i="17"/>
  <c r="L67" i="17"/>
  <c r="L83" i="17"/>
  <c r="L99" i="17"/>
  <c r="L115" i="17"/>
  <c r="L131" i="17"/>
  <c r="L147" i="17"/>
  <c r="L163" i="17"/>
  <c r="L179" i="17"/>
  <c r="L195" i="17"/>
  <c r="L211" i="17"/>
  <c r="L227" i="17"/>
  <c r="L243" i="17"/>
  <c r="L259" i="17"/>
  <c r="L275" i="17"/>
  <c r="L291" i="17"/>
  <c r="L307" i="17"/>
  <c r="L323" i="17"/>
  <c r="L339" i="17"/>
  <c r="L355" i="17"/>
  <c r="L7" i="17"/>
  <c r="L39" i="17"/>
  <c r="L87" i="17"/>
  <c r="L119" i="17"/>
  <c r="L167" i="17"/>
  <c r="L215" i="17"/>
  <c r="L247" i="17"/>
  <c r="L295" i="17"/>
  <c r="L327" i="17"/>
  <c r="L315" i="17"/>
  <c r="L30" i="17"/>
  <c r="L78" i="17"/>
  <c r="L126" i="17"/>
  <c r="L190" i="17"/>
  <c r="L238" i="17"/>
  <c r="L318" i="17"/>
  <c r="L366" i="17"/>
  <c r="L6" i="17"/>
  <c r="L22" i="17"/>
  <c r="L38" i="17"/>
  <c r="L54" i="17"/>
  <c r="L70" i="17"/>
  <c r="L86" i="17"/>
  <c r="L102" i="17"/>
  <c r="L118" i="17"/>
  <c r="L134" i="17"/>
  <c r="L150" i="17"/>
  <c r="L166" i="17"/>
  <c r="L182" i="17"/>
  <c r="L198" i="17"/>
  <c r="L214" i="17"/>
  <c r="L230" i="17"/>
  <c r="L246" i="17"/>
  <c r="L262" i="17"/>
  <c r="L278" i="17"/>
  <c r="L294" i="17"/>
  <c r="L310" i="17"/>
  <c r="L326" i="17"/>
  <c r="L342" i="17"/>
  <c r="L358" i="17"/>
  <c r="L23" i="17"/>
  <c r="L55" i="17"/>
  <c r="L103" i="17"/>
  <c r="L135" i="17"/>
  <c r="L183" i="17"/>
  <c r="L231" i="17"/>
  <c r="L263" i="17"/>
  <c r="L311" i="17"/>
  <c r="L343" i="17"/>
  <c r="L283" i="17"/>
  <c r="L14" i="17"/>
  <c r="L62" i="17"/>
  <c r="L110" i="17"/>
  <c r="L174" i="17"/>
  <c r="L222" i="17"/>
  <c r="L302" i="17"/>
  <c r="L350" i="17"/>
  <c r="L25" i="17"/>
  <c r="L41" i="17"/>
  <c r="L57" i="17"/>
  <c r="L73" i="17"/>
  <c r="L89" i="17"/>
  <c r="L105" i="17"/>
  <c r="L121" i="17"/>
  <c r="L137" i="17"/>
  <c r="L153" i="17"/>
  <c r="L169" i="17"/>
  <c r="L185" i="17"/>
  <c r="L201" i="17"/>
  <c r="L217" i="17"/>
  <c r="L233" i="17"/>
  <c r="L249" i="17"/>
  <c r="L265" i="17"/>
  <c r="L281" i="17"/>
  <c r="L297" i="17"/>
  <c r="L313" i="17"/>
  <c r="L329" i="17"/>
  <c r="L345" i="17"/>
  <c r="L361" i="17"/>
  <c r="L11" i="17"/>
  <c r="L27" i="17"/>
  <c r="L43" i="17"/>
  <c r="L59" i="17"/>
  <c r="L75" i="17"/>
  <c r="L91" i="17"/>
  <c r="L107" i="17"/>
  <c r="L123" i="17"/>
  <c r="L139" i="17"/>
  <c r="L155" i="17"/>
  <c r="L171" i="17"/>
  <c r="L187" i="17"/>
  <c r="L203" i="17"/>
  <c r="L219" i="17"/>
  <c r="L235" i="17"/>
  <c r="L251" i="17"/>
  <c r="L331" i="17"/>
  <c r="L347" i="17"/>
  <c r="L363" i="17"/>
  <c r="L46" i="17"/>
  <c r="L158" i="17"/>
  <c r="L254" i="17"/>
  <c r="L334" i="17"/>
  <c r="N9" i="17"/>
  <c r="N17" i="17"/>
  <c r="N25" i="17"/>
  <c r="N33" i="17"/>
  <c r="N41" i="17"/>
  <c r="N49" i="17"/>
  <c r="N57" i="17"/>
  <c r="N65" i="17"/>
  <c r="N73" i="17"/>
  <c r="N81" i="17"/>
  <c r="N89" i="17"/>
  <c r="N97" i="17"/>
  <c r="N105" i="17"/>
  <c r="N113" i="17"/>
  <c r="N121" i="17"/>
  <c r="N129" i="17"/>
  <c r="N137" i="17"/>
  <c r="N145" i="17"/>
  <c r="N153" i="17"/>
  <c r="N161" i="17"/>
  <c r="N169" i="17"/>
  <c r="N177" i="17"/>
  <c r="N185" i="17"/>
  <c r="N193" i="17"/>
  <c r="N201" i="17"/>
  <c r="N209" i="17"/>
  <c r="N217" i="17"/>
  <c r="N225" i="17"/>
  <c r="N233" i="17"/>
  <c r="N241" i="17"/>
  <c r="N249" i="17"/>
  <c r="N257" i="17"/>
  <c r="N265" i="17"/>
  <c r="N273" i="17"/>
  <c r="N281" i="17"/>
  <c r="N289" i="17"/>
  <c r="N297" i="17"/>
  <c r="N305" i="17"/>
  <c r="N313" i="17"/>
  <c r="N321" i="17"/>
  <c r="N329" i="17"/>
  <c r="N3" i="17"/>
  <c r="N11" i="17"/>
  <c r="N19" i="17"/>
  <c r="N27" i="17"/>
  <c r="N35" i="17"/>
  <c r="N43" i="17"/>
  <c r="N51" i="17"/>
  <c r="N59" i="17"/>
  <c r="N67" i="17"/>
  <c r="N75" i="17"/>
  <c r="N83" i="17"/>
  <c r="N91" i="17"/>
  <c r="N99" i="17"/>
  <c r="N107" i="17"/>
  <c r="N115" i="17"/>
  <c r="N123" i="17"/>
  <c r="N131" i="17"/>
  <c r="N139" i="17"/>
  <c r="N147" i="17"/>
  <c r="N155" i="17"/>
  <c r="N163" i="17"/>
  <c r="N171" i="17"/>
  <c r="N179" i="17"/>
  <c r="N187" i="17"/>
  <c r="N195" i="17"/>
  <c r="N203" i="17"/>
  <c r="N211" i="17"/>
  <c r="N219" i="17"/>
  <c r="N227" i="17"/>
  <c r="N235" i="17"/>
  <c r="N243" i="17"/>
  <c r="N251" i="17"/>
  <c r="N259" i="17"/>
  <c r="N267" i="17"/>
  <c r="N275" i="17"/>
  <c r="N283" i="17"/>
  <c r="N291" i="17"/>
  <c r="N299" i="17"/>
  <c r="N307" i="17"/>
  <c r="N315" i="17"/>
  <c r="N323" i="17"/>
  <c r="N5" i="17"/>
  <c r="N13" i="17"/>
  <c r="N21" i="17"/>
  <c r="N29" i="17"/>
  <c r="N37" i="17"/>
  <c r="N45" i="17"/>
  <c r="N53" i="17"/>
  <c r="N61" i="17"/>
  <c r="N69" i="17"/>
  <c r="N77" i="17"/>
  <c r="N85" i="17"/>
  <c r="N93" i="17"/>
  <c r="N101" i="17"/>
  <c r="N109" i="17"/>
  <c r="N117" i="17"/>
  <c r="N125" i="17"/>
  <c r="N133" i="17"/>
  <c r="N141" i="17"/>
  <c r="N149" i="17"/>
  <c r="N157" i="17"/>
  <c r="N165" i="17"/>
  <c r="N173" i="17"/>
  <c r="N181" i="17"/>
  <c r="N189" i="17"/>
  <c r="N197" i="17"/>
  <c r="N205" i="17"/>
  <c r="N213" i="17"/>
  <c r="N221" i="17"/>
  <c r="N229" i="17"/>
  <c r="N237" i="17"/>
  <c r="N245" i="17"/>
  <c r="N253" i="17"/>
  <c r="N261" i="17"/>
  <c r="N269" i="17"/>
  <c r="N277" i="17"/>
  <c r="N285" i="17"/>
  <c r="N293" i="17"/>
  <c r="N301" i="17"/>
  <c r="N309" i="17"/>
  <c r="N317" i="17"/>
  <c r="N325" i="17"/>
  <c r="N333" i="17"/>
  <c r="N6" i="17"/>
  <c r="N14" i="17"/>
  <c r="N22" i="17"/>
  <c r="N30" i="17"/>
  <c r="N38" i="17"/>
  <c r="N46" i="17"/>
  <c r="N54" i="17"/>
  <c r="N62" i="17"/>
  <c r="N70" i="17"/>
  <c r="N78" i="17"/>
  <c r="N86" i="17"/>
  <c r="N94" i="17"/>
  <c r="N102" i="17"/>
  <c r="N110" i="17"/>
  <c r="N118" i="17"/>
  <c r="N126" i="17"/>
  <c r="N134" i="17"/>
  <c r="N142" i="17"/>
  <c r="N150" i="17"/>
  <c r="N158" i="17"/>
  <c r="N166" i="17"/>
  <c r="N174" i="17"/>
  <c r="N182" i="17"/>
  <c r="N190" i="17"/>
  <c r="N198" i="17"/>
  <c r="N206" i="17"/>
  <c r="N214" i="17"/>
  <c r="N222" i="17"/>
  <c r="N230" i="17"/>
  <c r="N238" i="17"/>
  <c r="N246" i="17"/>
  <c r="N254" i="17"/>
  <c r="N262" i="17"/>
  <c r="N270" i="17"/>
  <c r="N278" i="17"/>
  <c r="N286" i="17"/>
  <c r="N294" i="17"/>
  <c r="N302" i="17"/>
  <c r="N310" i="17"/>
  <c r="N318" i="17"/>
  <c r="N326" i="17"/>
  <c r="N18" i="17"/>
  <c r="N34" i="17"/>
  <c r="N50" i="17"/>
  <c r="N66" i="17"/>
  <c r="N82" i="17"/>
  <c r="N98" i="17"/>
  <c r="N114" i="17"/>
  <c r="N130" i="17"/>
  <c r="N146" i="17"/>
  <c r="N162" i="17"/>
  <c r="N178" i="17"/>
  <c r="N194" i="17"/>
  <c r="N210" i="17"/>
  <c r="N226" i="17"/>
  <c r="N242" i="17"/>
  <c r="N258" i="17"/>
  <c r="N274" i="17"/>
  <c r="N290" i="17"/>
  <c r="N306" i="17"/>
  <c r="N322" i="17"/>
  <c r="N335" i="17"/>
  <c r="N343" i="17"/>
  <c r="N351" i="17"/>
  <c r="N359" i="17"/>
  <c r="N7" i="17"/>
  <c r="N23" i="17"/>
  <c r="N39" i="17"/>
  <c r="N55" i="17"/>
  <c r="N71" i="17"/>
  <c r="N87" i="17"/>
  <c r="N103" i="17"/>
  <c r="N119" i="17"/>
  <c r="N135" i="17"/>
  <c r="N151" i="17"/>
  <c r="N167" i="17"/>
  <c r="N183" i="17"/>
  <c r="N199" i="17"/>
  <c r="N215" i="17"/>
  <c r="N231" i="17"/>
  <c r="N247" i="17"/>
  <c r="N263" i="17"/>
  <c r="N279" i="17"/>
  <c r="N295" i="17"/>
  <c r="N311" i="17"/>
  <c r="N327" i="17"/>
  <c r="N337" i="17"/>
  <c r="N345" i="17"/>
  <c r="N353" i="17"/>
  <c r="N361" i="17"/>
  <c r="N10" i="17"/>
  <c r="N26" i="17"/>
  <c r="N42" i="17"/>
  <c r="N58" i="17"/>
  <c r="N74" i="17"/>
  <c r="N90" i="17"/>
  <c r="N106" i="17"/>
  <c r="N122" i="17"/>
  <c r="N138" i="17"/>
  <c r="N154" i="17"/>
  <c r="N170" i="17"/>
  <c r="N186" i="17"/>
  <c r="N202" i="17"/>
  <c r="N218" i="17"/>
  <c r="N234" i="17"/>
  <c r="N250" i="17"/>
  <c r="N266" i="17"/>
  <c r="N282" i="17"/>
  <c r="N298" i="17"/>
  <c r="N314" i="17"/>
  <c r="N330" i="17"/>
  <c r="N339" i="17"/>
  <c r="N347" i="17"/>
  <c r="N355" i="17"/>
  <c r="N363" i="17"/>
  <c r="N12" i="17"/>
  <c r="N28" i="17"/>
  <c r="N44" i="17"/>
  <c r="N60" i="17"/>
  <c r="N76" i="17"/>
  <c r="N92" i="17"/>
  <c r="N108" i="17"/>
  <c r="N124" i="17"/>
  <c r="N140" i="17"/>
  <c r="N156" i="17"/>
  <c r="N172" i="17"/>
  <c r="N188" i="17"/>
  <c r="N204" i="17"/>
  <c r="N220" i="17"/>
  <c r="N236" i="17"/>
  <c r="N252" i="17"/>
  <c r="N268" i="17"/>
  <c r="N284" i="17"/>
  <c r="N300" i="17"/>
  <c r="N316" i="17"/>
  <c r="N331" i="17"/>
  <c r="N340" i="17"/>
  <c r="N348" i="17"/>
  <c r="N356" i="17"/>
  <c r="N364" i="17"/>
  <c r="N4" i="17"/>
  <c r="N36" i="17"/>
  <c r="N68" i="17"/>
  <c r="N100" i="17"/>
  <c r="N132" i="17"/>
  <c r="N164" i="17"/>
  <c r="N196" i="17"/>
  <c r="N228" i="17"/>
  <c r="N260" i="17"/>
  <c r="N292" i="17"/>
  <c r="N324" i="17"/>
  <c r="N344" i="17"/>
  <c r="N360" i="17"/>
  <c r="N15" i="17"/>
  <c r="N47" i="17"/>
  <c r="N79" i="17"/>
  <c r="N111" i="17"/>
  <c r="N143" i="17"/>
  <c r="N175" i="17"/>
  <c r="N207" i="17"/>
  <c r="N239" i="17"/>
  <c r="N271" i="17"/>
  <c r="N303" i="17"/>
  <c r="N332" i="17"/>
  <c r="N349" i="17"/>
  <c r="N365" i="17"/>
  <c r="N20" i="17"/>
  <c r="N52" i="17"/>
  <c r="N84" i="17"/>
  <c r="N116" i="17"/>
  <c r="N148" i="17"/>
  <c r="N180" i="17"/>
  <c r="N212" i="17"/>
  <c r="N244" i="17"/>
  <c r="N276" i="17"/>
  <c r="N308" i="17"/>
  <c r="N336" i="17"/>
  <c r="N352" i="17"/>
  <c r="N24" i="17"/>
  <c r="N56" i="17"/>
  <c r="N88" i="17"/>
  <c r="N120" i="17"/>
  <c r="N152" i="17"/>
  <c r="N184" i="17"/>
  <c r="N216" i="17"/>
  <c r="N248" i="17"/>
  <c r="N280" i="17"/>
  <c r="N312" i="17"/>
  <c r="N338" i="17"/>
  <c r="N354" i="17"/>
  <c r="N2" i="17"/>
  <c r="N32" i="17"/>
  <c r="N96" i="17"/>
  <c r="N160" i="17"/>
  <c r="N224" i="17"/>
  <c r="N288" i="17"/>
  <c r="N342" i="17"/>
  <c r="N341" i="17"/>
  <c r="N40" i="17"/>
  <c r="N104" i="17"/>
  <c r="N168" i="17"/>
  <c r="N232" i="17"/>
  <c r="N296" i="17"/>
  <c r="N346" i="17"/>
  <c r="N48" i="17"/>
  <c r="N112" i="17"/>
  <c r="N176" i="17"/>
  <c r="N240" i="17"/>
  <c r="N304" i="17"/>
  <c r="N350" i="17"/>
  <c r="N128" i="17"/>
  <c r="N256" i="17"/>
  <c r="N358" i="17"/>
  <c r="N31" i="17"/>
  <c r="N159" i="17"/>
  <c r="N63" i="17"/>
  <c r="N127" i="17"/>
  <c r="N191" i="17"/>
  <c r="N255" i="17"/>
  <c r="N319" i="17"/>
  <c r="N357" i="17"/>
  <c r="N64" i="17"/>
  <c r="N192" i="17"/>
  <c r="N320" i="17"/>
  <c r="N95" i="17"/>
  <c r="N223" i="17"/>
  <c r="N8" i="17"/>
  <c r="N72" i="17"/>
  <c r="N136" i="17"/>
  <c r="N200" i="17"/>
  <c r="N264" i="17"/>
  <c r="N328" i="17"/>
  <c r="N362" i="17"/>
  <c r="N16" i="17"/>
  <c r="N80" i="17"/>
  <c r="N144" i="17"/>
  <c r="N208" i="17"/>
  <c r="N272" i="17"/>
  <c r="N334" i="17"/>
  <c r="N366" i="17"/>
  <c r="N287" i="17"/>
  <c r="M3" i="17"/>
  <c r="M11" i="17"/>
  <c r="M19" i="17"/>
  <c r="M27" i="17"/>
  <c r="M35" i="17"/>
  <c r="M43" i="17"/>
  <c r="M51" i="17"/>
  <c r="M59" i="17"/>
  <c r="M67" i="17"/>
  <c r="M75" i="17"/>
  <c r="M83" i="17"/>
  <c r="M91" i="17"/>
  <c r="M99" i="17"/>
  <c r="M107" i="17"/>
  <c r="M115" i="17"/>
  <c r="M123" i="17"/>
  <c r="M131" i="17"/>
  <c r="M139" i="17"/>
  <c r="M147" i="17"/>
  <c r="M155" i="17"/>
  <c r="M163" i="17"/>
  <c r="M171" i="17"/>
  <c r="M179" i="17"/>
  <c r="M187" i="17"/>
  <c r="M195" i="17"/>
  <c r="M203" i="17"/>
  <c r="M211" i="17"/>
  <c r="M219" i="17"/>
  <c r="M227" i="17"/>
  <c r="M235" i="17"/>
  <c r="M243" i="17"/>
  <c r="M251" i="17"/>
  <c r="M259" i="17"/>
  <c r="M267" i="17"/>
  <c r="M275" i="17"/>
  <c r="M283" i="17"/>
  <c r="M291" i="17"/>
  <c r="M299" i="17"/>
  <c r="M307" i="17"/>
  <c r="M5" i="17"/>
  <c r="M13" i="17"/>
  <c r="M21" i="17"/>
  <c r="M29" i="17"/>
  <c r="M37" i="17"/>
  <c r="M45" i="17"/>
  <c r="M53" i="17"/>
  <c r="M61" i="17"/>
  <c r="M69" i="17"/>
  <c r="M77" i="17"/>
  <c r="M85" i="17"/>
  <c r="M93" i="17"/>
  <c r="M101" i="17"/>
  <c r="M109" i="17"/>
  <c r="M117" i="17"/>
  <c r="M125" i="17"/>
  <c r="M133" i="17"/>
  <c r="M141" i="17"/>
  <c r="M149" i="17"/>
  <c r="M157" i="17"/>
  <c r="M165" i="17"/>
  <c r="M173" i="17"/>
  <c r="M181" i="17"/>
  <c r="M189" i="17"/>
  <c r="M197" i="17"/>
  <c r="M205" i="17"/>
  <c r="M213" i="17"/>
  <c r="M221" i="17"/>
  <c r="M229" i="17"/>
  <c r="M237" i="17"/>
  <c r="M245" i="17"/>
  <c r="M253" i="17"/>
  <c r="M261" i="17"/>
  <c r="M269" i="17"/>
  <c r="M277" i="17"/>
  <c r="M285" i="17"/>
  <c r="M293" i="17"/>
  <c r="M301" i="17"/>
  <c r="M7" i="17"/>
  <c r="M15" i="17"/>
  <c r="M23" i="17"/>
  <c r="M31" i="17"/>
  <c r="M39" i="17"/>
  <c r="M47" i="17"/>
  <c r="M55" i="17"/>
  <c r="M63" i="17"/>
  <c r="M71" i="17"/>
  <c r="M79" i="17"/>
  <c r="M87" i="17"/>
  <c r="M95" i="17"/>
  <c r="M103" i="17"/>
  <c r="M111" i="17"/>
  <c r="M119" i="17"/>
  <c r="M127" i="17"/>
  <c r="M135" i="17"/>
  <c r="M143" i="17"/>
  <c r="M151" i="17"/>
  <c r="M159" i="17"/>
  <c r="M167" i="17"/>
  <c r="M175" i="17"/>
  <c r="M183" i="17"/>
  <c r="M191" i="17"/>
  <c r="M199" i="17"/>
  <c r="M207" i="17"/>
  <c r="M215" i="17"/>
  <c r="M223" i="17"/>
  <c r="M231" i="17"/>
  <c r="M239" i="17"/>
  <c r="M247" i="17"/>
  <c r="M255" i="17"/>
  <c r="M263" i="17"/>
  <c r="M271" i="17"/>
  <c r="M279" i="17"/>
  <c r="M287" i="17"/>
  <c r="M8" i="17"/>
  <c r="M16" i="17"/>
  <c r="M24" i="17"/>
  <c r="M32" i="17"/>
  <c r="M40" i="17"/>
  <c r="M48" i="17"/>
  <c r="M56" i="17"/>
  <c r="M64" i="17"/>
  <c r="M72" i="17"/>
  <c r="M80" i="17"/>
  <c r="M88" i="17"/>
  <c r="M96" i="17"/>
  <c r="M104" i="17"/>
  <c r="M112" i="17"/>
  <c r="M120" i="17"/>
  <c r="M128" i="17"/>
  <c r="M136" i="17"/>
  <c r="M144" i="17"/>
  <c r="M152" i="17"/>
  <c r="M160" i="17"/>
  <c r="M168" i="17"/>
  <c r="M176" i="17"/>
  <c r="M184" i="17"/>
  <c r="M192" i="17"/>
  <c r="M200" i="17"/>
  <c r="M208" i="17"/>
  <c r="M216" i="17"/>
  <c r="M224" i="17"/>
  <c r="M232" i="17"/>
  <c r="M240" i="17"/>
  <c r="M248" i="17"/>
  <c r="M256" i="17"/>
  <c r="M264" i="17"/>
  <c r="M272" i="17"/>
  <c r="M280" i="17"/>
  <c r="M288" i="17"/>
  <c r="M12" i="17"/>
  <c r="M28" i="17"/>
  <c r="M44" i="17"/>
  <c r="M60" i="17"/>
  <c r="M76" i="17"/>
  <c r="M92" i="17"/>
  <c r="M108" i="17"/>
  <c r="M124" i="17"/>
  <c r="M140" i="17"/>
  <c r="M156" i="17"/>
  <c r="M172" i="17"/>
  <c r="M188" i="17"/>
  <c r="M204" i="17"/>
  <c r="M220" i="17"/>
  <c r="M236" i="17"/>
  <c r="M252" i="17"/>
  <c r="M268" i="17"/>
  <c r="M284" i="17"/>
  <c r="M297" i="17"/>
  <c r="M308" i="17"/>
  <c r="M316" i="17"/>
  <c r="M324" i="17"/>
  <c r="M332" i="17"/>
  <c r="M340" i="17"/>
  <c r="M348" i="17"/>
  <c r="M356" i="17"/>
  <c r="M364" i="17"/>
  <c r="M17" i="17"/>
  <c r="M33" i="17"/>
  <c r="M49" i="17"/>
  <c r="M65" i="17"/>
  <c r="M81" i="17"/>
  <c r="M97" i="17"/>
  <c r="M113" i="17"/>
  <c r="M129" i="17"/>
  <c r="M145" i="17"/>
  <c r="M161" i="17"/>
  <c r="M177" i="17"/>
  <c r="M193" i="17"/>
  <c r="M209" i="17"/>
  <c r="M225" i="17"/>
  <c r="M241" i="17"/>
  <c r="M257" i="17"/>
  <c r="M273" i="17"/>
  <c r="M289" i="17"/>
  <c r="M300" i="17"/>
  <c r="M310" i="17"/>
  <c r="M318" i="17"/>
  <c r="M326" i="17"/>
  <c r="M334" i="17"/>
  <c r="M342" i="17"/>
  <c r="M350" i="17"/>
  <c r="M358" i="17"/>
  <c r="M366" i="17"/>
  <c r="M4" i="17"/>
  <c r="M20" i="17"/>
  <c r="M36" i="17"/>
  <c r="M52" i="17"/>
  <c r="M68" i="17"/>
  <c r="M84" i="17"/>
  <c r="M100" i="17"/>
  <c r="M116" i="17"/>
  <c r="M132" i="17"/>
  <c r="M148" i="17"/>
  <c r="M164" i="17"/>
  <c r="M180" i="17"/>
  <c r="M196" i="17"/>
  <c r="M212" i="17"/>
  <c r="M228" i="17"/>
  <c r="M244" i="17"/>
  <c r="M260" i="17"/>
  <c r="M276" i="17"/>
  <c r="M292" i="17"/>
  <c r="M303" i="17"/>
  <c r="M312" i="17"/>
  <c r="M320" i="17"/>
  <c r="M328" i="17"/>
  <c r="M336" i="17"/>
  <c r="M344" i="17"/>
  <c r="M352" i="17"/>
  <c r="M360" i="17"/>
  <c r="M2" i="17"/>
  <c r="M6" i="17"/>
  <c r="M22" i="17"/>
  <c r="M38" i="17"/>
  <c r="M54" i="17"/>
  <c r="M70" i="17"/>
  <c r="M86" i="17"/>
  <c r="M102" i="17"/>
  <c r="M118" i="17"/>
  <c r="M134" i="17"/>
  <c r="M150" i="17"/>
  <c r="M166" i="17"/>
  <c r="M182" i="17"/>
  <c r="M198" i="17"/>
  <c r="M214" i="17"/>
  <c r="M230" i="17"/>
  <c r="M246" i="17"/>
  <c r="M262" i="17"/>
  <c r="M278" i="17"/>
  <c r="M294" i="17"/>
  <c r="M304" i="17"/>
  <c r="M313" i="17"/>
  <c r="M321" i="17"/>
  <c r="M329" i="17"/>
  <c r="M337" i="17"/>
  <c r="M345" i="17"/>
  <c r="M353" i="17"/>
  <c r="M361" i="17"/>
  <c r="M10" i="17"/>
  <c r="M42" i="17"/>
  <c r="M74" i="17"/>
  <c r="M106" i="17"/>
  <c r="M138" i="17"/>
  <c r="M170" i="17"/>
  <c r="M202" i="17"/>
  <c r="M234" i="17"/>
  <c r="M266" i="17"/>
  <c r="M296" i="17"/>
  <c r="M315" i="17"/>
  <c r="M331" i="17"/>
  <c r="M347" i="17"/>
  <c r="M363" i="17"/>
  <c r="M250" i="17"/>
  <c r="M201" i="17"/>
  <c r="M362" i="17"/>
  <c r="M14" i="17"/>
  <c r="M46" i="17"/>
  <c r="M78" i="17"/>
  <c r="M110" i="17"/>
  <c r="M142" i="17"/>
  <c r="M174" i="17"/>
  <c r="M206" i="17"/>
  <c r="M238" i="17"/>
  <c r="M270" i="17"/>
  <c r="M298" i="17"/>
  <c r="M317" i="17"/>
  <c r="M333" i="17"/>
  <c r="M349" i="17"/>
  <c r="M365" i="17"/>
  <c r="M58" i="17"/>
  <c r="M73" i="17"/>
  <c r="M346" i="17"/>
  <c r="M18" i="17"/>
  <c r="M50" i="17"/>
  <c r="M82" i="17"/>
  <c r="M114" i="17"/>
  <c r="M146" i="17"/>
  <c r="M178" i="17"/>
  <c r="M210" i="17"/>
  <c r="M242" i="17"/>
  <c r="M274" i="17"/>
  <c r="M302" i="17"/>
  <c r="M319" i="17"/>
  <c r="M335" i="17"/>
  <c r="M351" i="17"/>
  <c r="M90" i="17"/>
  <c r="M154" i="17"/>
  <c r="M218" i="17"/>
  <c r="M306" i="17"/>
  <c r="M339" i="17"/>
  <c r="M41" i="17"/>
  <c r="M169" i="17"/>
  <c r="M265" i="17"/>
  <c r="M330" i="17"/>
  <c r="M25" i="17"/>
  <c r="M57" i="17"/>
  <c r="M89" i="17"/>
  <c r="M121" i="17"/>
  <c r="M153" i="17"/>
  <c r="M185" i="17"/>
  <c r="M217" i="17"/>
  <c r="M249" i="17"/>
  <c r="M281" i="17"/>
  <c r="M305" i="17"/>
  <c r="M322" i="17"/>
  <c r="M338" i="17"/>
  <c r="M354" i="17"/>
  <c r="M26" i="17"/>
  <c r="M122" i="17"/>
  <c r="M186" i="17"/>
  <c r="M282" i="17"/>
  <c r="M323" i="17"/>
  <c r="M355" i="17"/>
  <c r="M9" i="17"/>
  <c r="M105" i="17"/>
  <c r="M233" i="17"/>
  <c r="M314" i="17"/>
  <c r="M30" i="17"/>
  <c r="M62" i="17"/>
  <c r="M94" i="17"/>
  <c r="M126" i="17"/>
  <c r="M158" i="17"/>
  <c r="M190" i="17"/>
  <c r="M222" i="17"/>
  <c r="M254" i="17"/>
  <c r="M286" i="17"/>
  <c r="M309" i="17"/>
  <c r="M325" i="17"/>
  <c r="M341" i="17"/>
  <c r="M357" i="17"/>
  <c r="M34" i="17"/>
  <c r="M66" i="17"/>
  <c r="M98" i="17"/>
  <c r="M130" i="17"/>
  <c r="M162" i="17"/>
  <c r="M194" i="17"/>
  <c r="M226" i="17"/>
  <c r="M258" i="17"/>
  <c r="M290" i="17"/>
  <c r="M311" i="17"/>
  <c r="M327" i="17"/>
  <c r="M343" i="17"/>
  <c r="M359" i="17"/>
  <c r="M137" i="17"/>
  <c r="M295" i="17"/>
  <c r="O9" i="17"/>
  <c r="O17" i="17"/>
  <c r="O25" i="17"/>
  <c r="O33" i="17"/>
  <c r="O41" i="17"/>
  <c r="O49" i="17"/>
  <c r="O57" i="17"/>
  <c r="O65" i="17"/>
  <c r="O73" i="17"/>
  <c r="O81" i="17"/>
  <c r="O89" i="17"/>
  <c r="O97" i="17"/>
  <c r="O105" i="17"/>
  <c r="O113" i="17"/>
  <c r="O121" i="17"/>
  <c r="O129" i="17"/>
  <c r="O137" i="17"/>
  <c r="O145" i="17"/>
  <c r="O153" i="17"/>
  <c r="O161" i="17"/>
  <c r="O169" i="17"/>
  <c r="O177" i="17"/>
  <c r="O185" i="17"/>
  <c r="O193" i="17"/>
  <c r="O201" i="17"/>
  <c r="O209" i="17"/>
  <c r="O217" i="17"/>
  <c r="O225" i="17"/>
  <c r="O233" i="17"/>
  <c r="O241" i="17"/>
  <c r="O249" i="17"/>
  <c r="O257" i="17"/>
  <c r="O265" i="17"/>
  <c r="O273" i="17"/>
  <c r="O281" i="17"/>
  <c r="O289" i="17"/>
  <c r="O297" i="17"/>
  <c r="O305" i="17"/>
  <c r="O313" i="17"/>
  <c r="O321" i="17"/>
  <c r="O329" i="17"/>
  <c r="O337" i="17"/>
  <c r="O345" i="17"/>
  <c r="O3" i="17"/>
  <c r="O11" i="17"/>
  <c r="O19" i="17"/>
  <c r="O27" i="17"/>
  <c r="O35" i="17"/>
  <c r="O43" i="17"/>
  <c r="O51" i="17"/>
  <c r="O59" i="17"/>
  <c r="O67" i="17"/>
  <c r="O75" i="17"/>
  <c r="O83" i="17"/>
  <c r="O91" i="17"/>
  <c r="O99" i="17"/>
  <c r="O107" i="17"/>
  <c r="O115" i="17"/>
  <c r="O123" i="17"/>
  <c r="O131" i="17"/>
  <c r="O139" i="17"/>
  <c r="O147" i="17"/>
  <c r="O155" i="17"/>
  <c r="O163" i="17"/>
  <c r="O171" i="17"/>
  <c r="O179" i="17"/>
  <c r="O187" i="17"/>
  <c r="O195" i="17"/>
  <c r="O203" i="17"/>
  <c r="O211" i="17"/>
  <c r="O219" i="17"/>
  <c r="O227" i="17"/>
  <c r="O235" i="17"/>
  <c r="O243" i="17"/>
  <c r="O251" i="17"/>
  <c r="O259" i="17"/>
  <c r="O267" i="17"/>
  <c r="O275" i="17"/>
  <c r="O283" i="17"/>
  <c r="O291" i="17"/>
  <c r="O299" i="17"/>
  <c r="O307" i="17"/>
  <c r="O315" i="17"/>
  <c r="O323" i="17"/>
  <c r="O331" i="17"/>
  <c r="O339" i="17"/>
  <c r="O347" i="17"/>
  <c r="O5" i="17"/>
  <c r="O13" i="17"/>
  <c r="O21" i="17"/>
  <c r="O29" i="17"/>
  <c r="O37" i="17"/>
  <c r="O45" i="17"/>
  <c r="O53" i="17"/>
  <c r="O61" i="17"/>
  <c r="O69" i="17"/>
  <c r="O77" i="17"/>
  <c r="O85" i="17"/>
  <c r="O93" i="17"/>
  <c r="O101" i="17"/>
  <c r="O109" i="17"/>
  <c r="O117" i="17"/>
  <c r="O125" i="17"/>
  <c r="O133" i="17"/>
  <c r="O141" i="17"/>
  <c r="O149" i="17"/>
  <c r="O157" i="17"/>
  <c r="O165" i="17"/>
  <c r="O173" i="17"/>
  <c r="O181" i="17"/>
  <c r="O189" i="17"/>
  <c r="O197" i="17"/>
  <c r="O205" i="17"/>
  <c r="O213" i="17"/>
  <c r="O221" i="17"/>
  <c r="O229" i="17"/>
  <c r="O237" i="17"/>
  <c r="O245" i="17"/>
  <c r="O253" i="17"/>
  <c r="O261" i="17"/>
  <c r="O269" i="17"/>
  <c r="O277" i="17"/>
  <c r="O285" i="17"/>
  <c r="O293" i="17"/>
  <c r="O301" i="17"/>
  <c r="O309" i="17"/>
  <c r="O317" i="17"/>
  <c r="O325" i="17"/>
  <c r="O333" i="17"/>
  <c r="O341" i="17"/>
  <c r="O349" i="17"/>
  <c r="O6" i="17"/>
  <c r="O14" i="17"/>
  <c r="O22" i="17"/>
  <c r="O30" i="17"/>
  <c r="O38" i="17"/>
  <c r="O46" i="17"/>
  <c r="O54" i="17"/>
  <c r="O62" i="17"/>
  <c r="O70" i="17"/>
  <c r="O78" i="17"/>
  <c r="O86" i="17"/>
  <c r="O94" i="17"/>
  <c r="O102" i="17"/>
  <c r="O110" i="17"/>
  <c r="O118" i="17"/>
  <c r="O126" i="17"/>
  <c r="O134" i="17"/>
  <c r="O142" i="17"/>
  <c r="O150" i="17"/>
  <c r="O158" i="17"/>
  <c r="O166" i="17"/>
  <c r="O174" i="17"/>
  <c r="O182" i="17"/>
  <c r="O190" i="17"/>
  <c r="O198" i="17"/>
  <c r="O206" i="17"/>
  <c r="O214" i="17"/>
  <c r="O222" i="17"/>
  <c r="O230" i="17"/>
  <c r="O238" i="17"/>
  <c r="O246" i="17"/>
  <c r="O254" i="17"/>
  <c r="O262" i="17"/>
  <c r="O270" i="17"/>
  <c r="O278" i="17"/>
  <c r="O286" i="17"/>
  <c r="O294" i="17"/>
  <c r="O302" i="17"/>
  <c r="O310" i="17"/>
  <c r="O318" i="17"/>
  <c r="O326" i="17"/>
  <c r="O334" i="17"/>
  <c r="O342" i="17"/>
  <c r="O350" i="17"/>
  <c r="O10" i="17"/>
  <c r="O26" i="17"/>
  <c r="O42" i="17"/>
  <c r="O58" i="17"/>
  <c r="O74" i="17"/>
  <c r="O90" i="17"/>
  <c r="O106" i="17"/>
  <c r="O122" i="17"/>
  <c r="O138" i="17"/>
  <c r="O154" i="17"/>
  <c r="O170" i="17"/>
  <c r="O186" i="17"/>
  <c r="O202" i="17"/>
  <c r="O218" i="17"/>
  <c r="O234" i="17"/>
  <c r="O250" i="17"/>
  <c r="O266" i="17"/>
  <c r="O282" i="17"/>
  <c r="O298" i="17"/>
  <c r="O314" i="17"/>
  <c r="O330" i="17"/>
  <c r="O346" i="17"/>
  <c r="O357" i="17"/>
  <c r="O365" i="17"/>
  <c r="O15" i="17"/>
  <c r="O31" i="17"/>
  <c r="O47" i="17"/>
  <c r="O63" i="17"/>
  <c r="O79" i="17"/>
  <c r="O95" i="17"/>
  <c r="O111" i="17"/>
  <c r="O127" i="17"/>
  <c r="O143" i="17"/>
  <c r="O159" i="17"/>
  <c r="O175" i="17"/>
  <c r="O191" i="17"/>
  <c r="O207" i="17"/>
  <c r="O223" i="17"/>
  <c r="O239" i="17"/>
  <c r="O255" i="17"/>
  <c r="O271" i="17"/>
  <c r="O287" i="17"/>
  <c r="O303" i="17"/>
  <c r="O319" i="17"/>
  <c r="O335" i="17"/>
  <c r="O351" i="17"/>
  <c r="O359" i="17"/>
  <c r="O18" i="17"/>
  <c r="O34" i="17"/>
  <c r="O50" i="17"/>
  <c r="O66" i="17"/>
  <c r="O82" i="17"/>
  <c r="O98" i="17"/>
  <c r="O114" i="17"/>
  <c r="O130" i="17"/>
  <c r="O146" i="17"/>
  <c r="O162" i="17"/>
  <c r="O178" i="17"/>
  <c r="O194" i="17"/>
  <c r="O210" i="17"/>
  <c r="O226" i="17"/>
  <c r="O242" i="17"/>
  <c r="O258" i="17"/>
  <c r="O274" i="17"/>
  <c r="O290" i="17"/>
  <c r="O306" i="17"/>
  <c r="O322" i="17"/>
  <c r="O338" i="17"/>
  <c r="O353" i="17"/>
  <c r="O361" i="17"/>
  <c r="O4" i="17"/>
  <c r="O20" i="17"/>
  <c r="O36" i="17"/>
  <c r="O52" i="17"/>
  <c r="O68" i="17"/>
  <c r="O84" i="17"/>
  <c r="O100" i="17"/>
  <c r="O116" i="17"/>
  <c r="O132" i="17"/>
  <c r="O148" i="17"/>
  <c r="O164" i="17"/>
  <c r="O180" i="17"/>
  <c r="O196" i="17"/>
  <c r="O212" i="17"/>
  <c r="O228" i="17"/>
  <c r="O244" i="17"/>
  <c r="O260" i="17"/>
  <c r="O276" i="17"/>
  <c r="O292" i="17"/>
  <c r="O308" i="17"/>
  <c r="O324" i="17"/>
  <c r="O340" i="17"/>
  <c r="O354" i="17"/>
  <c r="O362" i="17"/>
  <c r="O28" i="17"/>
  <c r="O60" i="17"/>
  <c r="O92" i="17"/>
  <c r="O124" i="17"/>
  <c r="O156" i="17"/>
  <c r="O188" i="17"/>
  <c r="O220" i="17"/>
  <c r="O252" i="17"/>
  <c r="O284" i="17"/>
  <c r="O316" i="17"/>
  <c r="O348" i="17"/>
  <c r="O366" i="17"/>
  <c r="O7" i="17"/>
  <c r="O39" i="17"/>
  <c r="O71" i="17"/>
  <c r="O103" i="17"/>
  <c r="O135" i="17"/>
  <c r="O167" i="17"/>
  <c r="O199" i="17"/>
  <c r="O231" i="17"/>
  <c r="O263" i="17"/>
  <c r="O295" i="17"/>
  <c r="O327" i="17"/>
  <c r="O355" i="17"/>
  <c r="O12" i="17"/>
  <c r="O44" i="17"/>
  <c r="O76" i="17"/>
  <c r="O108" i="17"/>
  <c r="O140" i="17"/>
  <c r="O172" i="17"/>
  <c r="O204" i="17"/>
  <c r="O236" i="17"/>
  <c r="O268" i="17"/>
  <c r="O300" i="17"/>
  <c r="O332" i="17"/>
  <c r="O358" i="17"/>
  <c r="O16" i="17"/>
  <c r="O48" i="17"/>
  <c r="O80" i="17"/>
  <c r="O112" i="17"/>
  <c r="O144" i="17"/>
  <c r="O176" i="17"/>
  <c r="O208" i="17"/>
  <c r="O240" i="17"/>
  <c r="O272" i="17"/>
  <c r="O304" i="17"/>
  <c r="O336" i="17"/>
  <c r="O360" i="17"/>
  <c r="O64" i="17"/>
  <c r="O128" i="17"/>
  <c r="O192" i="17"/>
  <c r="O256" i="17"/>
  <c r="O320" i="17"/>
  <c r="O23" i="17"/>
  <c r="O87" i="17"/>
  <c r="O151" i="17"/>
  <c r="O215" i="17"/>
  <c r="O279" i="17"/>
  <c r="O343" i="17"/>
  <c r="O32" i="17"/>
  <c r="O96" i="17"/>
  <c r="O160" i="17"/>
  <c r="O224" i="17"/>
  <c r="O288" i="17"/>
  <c r="O352" i="17"/>
  <c r="O40" i="17"/>
  <c r="O104" i="17"/>
  <c r="O168" i="17"/>
  <c r="O232" i="17"/>
  <c r="O296" i="17"/>
  <c r="O356" i="17"/>
  <c r="O56" i="17"/>
  <c r="O184" i="17"/>
  <c r="O312" i="17"/>
  <c r="O248" i="17"/>
  <c r="O55" i="17"/>
  <c r="O72" i="17"/>
  <c r="O200" i="17"/>
  <c r="O328" i="17"/>
  <c r="O88" i="17"/>
  <c r="O216" i="17"/>
  <c r="O344" i="17"/>
  <c r="O364" i="17"/>
  <c r="O119" i="17"/>
  <c r="O247" i="17"/>
  <c r="O363" i="17"/>
  <c r="O120" i="17"/>
  <c r="O311" i="17"/>
  <c r="O8" i="17"/>
  <c r="O136" i="17"/>
  <c r="O264" i="17"/>
  <c r="O24" i="17"/>
  <c r="O152" i="17"/>
  <c r="O280" i="17"/>
  <c r="O183" i="17"/>
  <c r="O2" i="17"/>
  <c r="C22" i="5" l="1"/>
  <c r="B22" i="5"/>
  <c r="B23" i="5"/>
  <c r="C23" i="5"/>
  <c r="D23" i="5"/>
  <c r="E23" i="5"/>
  <c r="F23" i="5"/>
  <c r="G23" i="5"/>
  <c r="H23" i="5"/>
  <c r="I23" i="5"/>
  <c r="J23" i="5"/>
  <c r="K23" i="5"/>
  <c r="L23" i="5"/>
  <c r="M23" i="5"/>
  <c r="B24" i="5"/>
  <c r="C24" i="5"/>
  <c r="D24" i="5"/>
  <c r="E24" i="5"/>
  <c r="F24" i="5"/>
  <c r="G24" i="5"/>
  <c r="H24" i="5"/>
  <c r="I24" i="5"/>
  <c r="J24" i="5"/>
  <c r="K24" i="5"/>
  <c r="L24" i="5"/>
  <c r="M24" i="5"/>
  <c r="B25" i="5"/>
  <c r="C25" i="5"/>
  <c r="D25" i="5"/>
  <c r="E25" i="5"/>
  <c r="F25" i="5"/>
  <c r="G25" i="5"/>
  <c r="H25" i="5"/>
  <c r="I25" i="5"/>
  <c r="J25" i="5"/>
  <c r="K25" i="5"/>
  <c r="L25" i="5"/>
  <c r="M25" i="5"/>
  <c r="B26" i="5"/>
  <c r="C26" i="5"/>
  <c r="D26" i="5"/>
  <c r="E26" i="5"/>
  <c r="F26" i="5"/>
  <c r="G26" i="5"/>
  <c r="H26" i="5"/>
  <c r="I26" i="5"/>
  <c r="J26" i="5"/>
  <c r="K26" i="5"/>
  <c r="L26" i="5"/>
  <c r="M26" i="5"/>
  <c r="D22" i="5"/>
  <c r="E22" i="5"/>
  <c r="F22" i="5"/>
  <c r="G22" i="5"/>
  <c r="H22" i="5"/>
  <c r="I22" i="5"/>
  <c r="J22" i="5"/>
  <c r="K22" i="5"/>
  <c r="L22" i="5"/>
  <c r="M22" i="5"/>
  <c r="L27" i="5" l="1"/>
  <c r="M27" i="5"/>
  <c r="K27" i="5"/>
  <c r="J27" i="5"/>
  <c r="F39" i="6"/>
  <c r="B39" i="6"/>
  <c r="C9" i="5" l="1"/>
  <c r="B9" i="5"/>
  <c r="E9" i="5"/>
  <c r="D9" i="5"/>
  <c r="AL46" i="16"/>
  <c r="AM46" i="16"/>
  <c r="AN46" i="16"/>
  <c r="AO46" i="16"/>
  <c r="AP46" i="16"/>
  <c r="AQ46" i="16"/>
  <c r="AR46" i="16"/>
  <c r="AS46" i="16"/>
  <c r="AT46" i="16"/>
  <c r="AU46" i="16"/>
  <c r="AV46" i="16"/>
  <c r="AW46" i="16"/>
  <c r="AL47" i="16"/>
  <c r="AM47" i="16"/>
  <c r="AN47" i="16"/>
  <c r="AO47" i="16"/>
  <c r="AP47" i="16"/>
  <c r="AQ47" i="16"/>
  <c r="AR47" i="16"/>
  <c r="AS47" i="16"/>
  <c r="AT47" i="16"/>
  <c r="AU47" i="16"/>
  <c r="AV47" i="16"/>
  <c r="AW47" i="16"/>
  <c r="AL48" i="16"/>
  <c r="AM48" i="16"/>
  <c r="AN48" i="16"/>
  <c r="AO48" i="16"/>
  <c r="AP48" i="16"/>
  <c r="AQ48" i="16"/>
  <c r="AR48" i="16"/>
  <c r="AS48" i="16"/>
  <c r="AT48" i="16"/>
  <c r="AU48" i="16"/>
  <c r="AV48" i="16"/>
  <c r="AW48" i="16"/>
  <c r="AL49" i="16"/>
  <c r="AM49" i="16"/>
  <c r="AN49" i="16"/>
  <c r="AO49" i="16"/>
  <c r="AP49" i="16"/>
  <c r="AQ49" i="16"/>
  <c r="AR49" i="16"/>
  <c r="AS49" i="16"/>
  <c r="AT49" i="16"/>
  <c r="AU49" i="16"/>
  <c r="AV49" i="16"/>
  <c r="AW49" i="16"/>
  <c r="AL50" i="16"/>
  <c r="AM50" i="16"/>
  <c r="AN50" i="16"/>
  <c r="AO50" i="16"/>
  <c r="AP50" i="16"/>
  <c r="AQ50" i="16"/>
  <c r="AR50" i="16"/>
  <c r="AS50" i="16"/>
  <c r="AT50" i="16"/>
  <c r="AU50" i="16"/>
  <c r="AV50" i="16"/>
  <c r="AW50" i="16"/>
  <c r="AC46" i="16"/>
  <c r="AD46" i="16"/>
  <c r="AE46" i="16"/>
  <c r="AF46" i="16"/>
  <c r="AG46" i="16"/>
  <c r="AH46" i="16"/>
  <c r="AI46" i="16"/>
  <c r="AJ46" i="16"/>
  <c r="AC47" i="16"/>
  <c r="AD47" i="16"/>
  <c r="AE47" i="16"/>
  <c r="AF47" i="16"/>
  <c r="AG47" i="16"/>
  <c r="AH47" i="16"/>
  <c r="AI47" i="16"/>
  <c r="AJ47" i="16"/>
  <c r="AC48" i="16"/>
  <c r="AD48" i="16"/>
  <c r="AE48" i="16"/>
  <c r="AF48" i="16"/>
  <c r="AG48" i="16"/>
  <c r="AH48" i="16"/>
  <c r="AI48" i="16"/>
  <c r="AJ48" i="16"/>
  <c r="AC49" i="16"/>
  <c r="AD49" i="16"/>
  <c r="AE49" i="16"/>
  <c r="AF49" i="16"/>
  <c r="AG49" i="16"/>
  <c r="AH49" i="16"/>
  <c r="AI49" i="16"/>
  <c r="AJ49" i="16"/>
  <c r="AC50" i="16"/>
  <c r="AD50" i="16"/>
  <c r="AE50" i="16"/>
  <c r="AF50" i="16"/>
  <c r="AG50" i="16"/>
  <c r="AH50" i="16"/>
  <c r="AI50" i="16"/>
  <c r="AJ50" i="16"/>
  <c r="AB7" i="2"/>
  <c r="AB8" i="2"/>
  <c r="AB9" i="2"/>
  <c r="AB10" i="2"/>
  <c r="AB6" i="2"/>
  <c r="N9" i="5" l="1"/>
  <c r="E10" i="5"/>
  <c r="D10" i="5"/>
  <c r="C10" i="5"/>
  <c r="B10" i="5"/>
  <c r="AD10" i="2"/>
  <c r="AD9" i="2"/>
  <c r="AD7" i="2"/>
  <c r="AD8" i="2"/>
  <c r="AD6" i="2"/>
  <c r="I3" i="13" l="1"/>
  <c r="H3" i="13"/>
  <c r="F3" i="13"/>
  <c r="G3" i="13"/>
  <c r="N3" i="13"/>
  <c r="M3" i="13"/>
  <c r="E3" i="13"/>
  <c r="C3" i="13"/>
  <c r="D3" i="13"/>
  <c r="J3" i="13"/>
  <c r="L3" i="13"/>
  <c r="K3" i="13"/>
  <c r="CV6" i="2" l="1"/>
  <c r="CV20" i="2"/>
  <c r="CV19" i="2"/>
  <c r="CV18" i="2"/>
  <c r="CV17" i="2"/>
  <c r="CW17" i="2" s="1"/>
  <c r="CV16" i="2"/>
  <c r="CV15" i="2"/>
  <c r="CV14" i="2"/>
  <c r="CW14" i="2" s="1"/>
  <c r="CV13" i="2"/>
  <c r="CW13" i="2" s="1"/>
  <c r="CV12" i="2"/>
  <c r="CV10" i="2"/>
  <c r="CV9" i="2"/>
  <c r="CV8" i="2"/>
  <c r="CW8" i="2" s="1"/>
  <c r="CO5" i="2"/>
  <c r="AW132" i="16"/>
  <c r="AV132" i="16"/>
  <c r="AU132" i="16"/>
  <c r="AP132" i="16"/>
  <c r="AU30" i="16"/>
  <c r="Z152" i="16"/>
  <c r="Z151" i="16"/>
  <c r="Z150" i="16"/>
  <c r="Z149" i="16"/>
  <c r="Z148" i="16"/>
  <c r="Z147" i="16"/>
  <c r="Z146" i="16"/>
  <c r="Z145" i="16"/>
  <c r="Z144" i="16"/>
  <c r="Z143" i="16"/>
  <c r="Z142" i="16"/>
  <c r="Z141" i="16"/>
  <c r="Z140" i="16"/>
  <c r="Z139" i="16"/>
  <c r="Z138" i="16"/>
  <c r="Z137" i="16"/>
  <c r="Z136" i="16"/>
  <c r="Z135" i="16"/>
  <c r="Z134" i="16"/>
  <c r="Z133" i="16"/>
  <c r="AA132" i="16"/>
  <c r="Z132" i="16"/>
  <c r="AT132" i="16" s="1"/>
  <c r="Y132" i="16"/>
  <c r="AH132" i="16" s="1"/>
  <c r="AS132" i="16" s="1"/>
  <c r="X132" i="16"/>
  <c r="AG132" i="16" s="1"/>
  <c r="AR132" i="16" s="1"/>
  <c r="W132" i="16"/>
  <c r="AF132" i="16" s="1"/>
  <c r="AQ132" i="16" s="1"/>
  <c r="V132" i="16"/>
  <c r="AE132" i="16" s="1"/>
  <c r="U132" i="16"/>
  <c r="AD132" i="16" s="1"/>
  <c r="AO132" i="16" s="1"/>
  <c r="T132" i="16"/>
  <c r="AC132" i="16" s="1"/>
  <c r="AA30" i="16"/>
  <c r="AJ30" i="16" s="1"/>
  <c r="Z30" i="16"/>
  <c r="AI30" i="16" s="1"/>
  <c r="AT30" i="16" s="1"/>
  <c r="Y30" i="16"/>
  <c r="AH30" i="16" s="1"/>
  <c r="AS30" i="16" s="1"/>
  <c r="X30" i="16"/>
  <c r="AG30" i="16" s="1"/>
  <c r="AR30" i="16" s="1"/>
  <c r="W30" i="16"/>
  <c r="AF30" i="16" s="1"/>
  <c r="AQ30" i="16" s="1"/>
  <c r="V30" i="16"/>
  <c r="AE30" i="16" s="1"/>
  <c r="AP30" i="16" s="1"/>
  <c r="U30" i="16"/>
  <c r="AD30" i="16" s="1"/>
  <c r="AO30" i="16" s="1"/>
  <c r="T30" i="16"/>
  <c r="AC30" i="16" s="1"/>
  <c r="AL30" i="16" s="1"/>
  <c r="AG81" i="16"/>
  <c r="AR81" i="16" s="1"/>
  <c r="AI81" i="16"/>
  <c r="AT81" i="16" s="1"/>
  <c r="T81" i="16"/>
  <c r="AC81" i="16" s="1"/>
  <c r="U81" i="16"/>
  <c r="AD81" i="16" s="1"/>
  <c r="AO81" i="16" s="1"/>
  <c r="V81" i="16"/>
  <c r="AE81" i="16" s="1"/>
  <c r="AP81" i="16" s="1"/>
  <c r="W81" i="16"/>
  <c r="AF81" i="16" s="1"/>
  <c r="AQ81" i="16" s="1"/>
  <c r="X81" i="16"/>
  <c r="Y81" i="16"/>
  <c r="AH81" i="16" s="1"/>
  <c r="AS81" i="16" s="1"/>
  <c r="Z81" i="16"/>
  <c r="AB127" i="16"/>
  <c r="AA127" i="16"/>
  <c r="AB126" i="16"/>
  <c r="AA126" i="16"/>
  <c r="AB125" i="16"/>
  <c r="AA125" i="16"/>
  <c r="AB124" i="16"/>
  <c r="AA124" i="16"/>
  <c r="AB123" i="16"/>
  <c r="AA123" i="16"/>
  <c r="AB122" i="16"/>
  <c r="AA122" i="16"/>
  <c r="AB121" i="16"/>
  <c r="AA121" i="16"/>
  <c r="AB120" i="16"/>
  <c r="AA120" i="16"/>
  <c r="AB119" i="16"/>
  <c r="AA119" i="16"/>
  <c r="AB118" i="16"/>
  <c r="AA118" i="16"/>
  <c r="AB117" i="16"/>
  <c r="AA117" i="16"/>
  <c r="AB116" i="16"/>
  <c r="AA116" i="16"/>
  <c r="AB115" i="16"/>
  <c r="AA115" i="16"/>
  <c r="AB114" i="16"/>
  <c r="AA114" i="16"/>
  <c r="AB113" i="16"/>
  <c r="AA113" i="16"/>
  <c r="AB112" i="16"/>
  <c r="AA112" i="16"/>
  <c r="AB111" i="16"/>
  <c r="AA111" i="16"/>
  <c r="AB110" i="16"/>
  <c r="AA110" i="16"/>
  <c r="AB109" i="16"/>
  <c r="AA109" i="16"/>
  <c r="AB108" i="16"/>
  <c r="AA108" i="16"/>
  <c r="AB107" i="16"/>
  <c r="AA107" i="16"/>
  <c r="Z127" i="16"/>
  <c r="Y127" i="16"/>
  <c r="X127" i="16"/>
  <c r="W127" i="16"/>
  <c r="V127" i="16"/>
  <c r="U127" i="16"/>
  <c r="T127" i="16"/>
  <c r="S127" i="16"/>
  <c r="R127" i="16"/>
  <c r="Q127" i="16"/>
  <c r="M152" i="16" s="1"/>
  <c r="P127" i="16"/>
  <c r="O127" i="16"/>
  <c r="K152" i="16" s="1"/>
  <c r="N127" i="16"/>
  <c r="M127" i="16"/>
  <c r="I152" i="16" s="1"/>
  <c r="L127" i="16"/>
  <c r="K127" i="16"/>
  <c r="G152" i="16" s="1"/>
  <c r="J127" i="16"/>
  <c r="I127" i="16"/>
  <c r="H127" i="16"/>
  <c r="G127" i="16"/>
  <c r="F127" i="16"/>
  <c r="E127" i="16"/>
  <c r="D127" i="16"/>
  <c r="C127" i="16"/>
  <c r="Z126" i="16"/>
  <c r="Y126" i="16"/>
  <c r="X126" i="16"/>
  <c r="W126" i="16"/>
  <c r="V126" i="16"/>
  <c r="U126" i="16"/>
  <c r="T126" i="16"/>
  <c r="S126" i="16"/>
  <c r="R126" i="16"/>
  <c r="Q126" i="16"/>
  <c r="M151" i="16" s="1"/>
  <c r="P126" i="16"/>
  <c r="O126" i="16"/>
  <c r="K151" i="16" s="1"/>
  <c r="N126" i="16"/>
  <c r="M126" i="16"/>
  <c r="I151" i="16" s="1"/>
  <c r="L126" i="16"/>
  <c r="K126" i="16"/>
  <c r="G151" i="16" s="1"/>
  <c r="J126" i="16"/>
  <c r="I126" i="16"/>
  <c r="H126" i="16"/>
  <c r="G126" i="16"/>
  <c r="F126" i="16"/>
  <c r="E126" i="16"/>
  <c r="D126" i="16"/>
  <c r="C126" i="16"/>
  <c r="Z125" i="16"/>
  <c r="Y125" i="16"/>
  <c r="X125" i="16"/>
  <c r="W125" i="16"/>
  <c r="V125" i="16"/>
  <c r="U125" i="16"/>
  <c r="T125" i="16"/>
  <c r="S125" i="16"/>
  <c r="R125" i="16"/>
  <c r="Q125" i="16"/>
  <c r="M150" i="16" s="1"/>
  <c r="P125" i="16"/>
  <c r="O125" i="16"/>
  <c r="K150" i="16" s="1"/>
  <c r="N125" i="16"/>
  <c r="M125" i="16"/>
  <c r="I150" i="16" s="1"/>
  <c r="L125" i="16"/>
  <c r="K125" i="16"/>
  <c r="G150" i="16" s="1"/>
  <c r="J125" i="16"/>
  <c r="I125" i="16"/>
  <c r="H125" i="16"/>
  <c r="G125" i="16"/>
  <c r="F125" i="16"/>
  <c r="E125" i="16"/>
  <c r="D125" i="16"/>
  <c r="C125" i="16"/>
  <c r="Z124" i="16"/>
  <c r="Y124" i="16"/>
  <c r="X124" i="16"/>
  <c r="W124" i="16"/>
  <c r="V124" i="16"/>
  <c r="U124" i="16"/>
  <c r="T124" i="16"/>
  <c r="S124" i="16"/>
  <c r="R124" i="16"/>
  <c r="Q124" i="16"/>
  <c r="M149" i="16" s="1"/>
  <c r="P124" i="16"/>
  <c r="O124" i="16"/>
  <c r="K149" i="16" s="1"/>
  <c r="N124" i="16"/>
  <c r="M124" i="16"/>
  <c r="I149" i="16" s="1"/>
  <c r="L124" i="16"/>
  <c r="K124" i="16"/>
  <c r="G149" i="16" s="1"/>
  <c r="J124" i="16"/>
  <c r="I124" i="16"/>
  <c r="H124" i="16"/>
  <c r="G124" i="16"/>
  <c r="F124" i="16"/>
  <c r="E124" i="16"/>
  <c r="D124" i="16"/>
  <c r="C124" i="16"/>
  <c r="Z123" i="16"/>
  <c r="Y123" i="16"/>
  <c r="X123" i="16"/>
  <c r="W123" i="16"/>
  <c r="V123" i="16"/>
  <c r="U123" i="16"/>
  <c r="T123" i="16"/>
  <c r="S123" i="16"/>
  <c r="R123" i="16"/>
  <c r="Q123" i="16"/>
  <c r="M148" i="16" s="1"/>
  <c r="P123" i="16"/>
  <c r="O123" i="16"/>
  <c r="K148" i="16" s="1"/>
  <c r="N123" i="16"/>
  <c r="M123" i="16"/>
  <c r="I148" i="16" s="1"/>
  <c r="L123" i="16"/>
  <c r="K123" i="16"/>
  <c r="G148" i="16" s="1"/>
  <c r="J123" i="16"/>
  <c r="I123" i="16"/>
  <c r="H123" i="16"/>
  <c r="G123" i="16"/>
  <c r="F123" i="16"/>
  <c r="E123" i="16"/>
  <c r="D123" i="16"/>
  <c r="C123" i="16"/>
  <c r="Z122" i="16"/>
  <c r="Y122" i="16"/>
  <c r="X122" i="16"/>
  <c r="W122" i="16"/>
  <c r="V122" i="16"/>
  <c r="U122" i="16"/>
  <c r="T122" i="16"/>
  <c r="S122" i="16"/>
  <c r="R122" i="16"/>
  <c r="Q122" i="16"/>
  <c r="M147" i="16" s="1"/>
  <c r="P122" i="16"/>
  <c r="O122" i="16"/>
  <c r="K147" i="16" s="1"/>
  <c r="N122" i="16"/>
  <c r="M122" i="16"/>
  <c r="I147" i="16" s="1"/>
  <c r="L122" i="16"/>
  <c r="K122" i="16"/>
  <c r="G147" i="16" s="1"/>
  <c r="J122" i="16"/>
  <c r="I122" i="16"/>
  <c r="H122" i="16"/>
  <c r="G122" i="16"/>
  <c r="F122" i="16"/>
  <c r="E122" i="16"/>
  <c r="D122" i="16"/>
  <c r="C122" i="16"/>
  <c r="Z121" i="16"/>
  <c r="Y121" i="16"/>
  <c r="X121" i="16"/>
  <c r="W121" i="16"/>
  <c r="V121" i="16"/>
  <c r="U121" i="16"/>
  <c r="T121" i="16"/>
  <c r="S121" i="16"/>
  <c r="R121" i="16"/>
  <c r="Q121" i="16"/>
  <c r="M146" i="16" s="1"/>
  <c r="P121" i="16"/>
  <c r="O121" i="16"/>
  <c r="K146" i="16" s="1"/>
  <c r="N121" i="16"/>
  <c r="M121" i="16"/>
  <c r="I146" i="16" s="1"/>
  <c r="L121" i="16"/>
  <c r="K121" i="16"/>
  <c r="G146" i="16" s="1"/>
  <c r="J121" i="16"/>
  <c r="I121" i="16"/>
  <c r="H121" i="16"/>
  <c r="G121" i="16"/>
  <c r="F121" i="16"/>
  <c r="E121" i="16"/>
  <c r="D121" i="16"/>
  <c r="C121" i="16"/>
  <c r="Z120" i="16"/>
  <c r="Y120" i="16"/>
  <c r="X120" i="16"/>
  <c r="W120" i="16"/>
  <c r="V120" i="16"/>
  <c r="U120" i="16"/>
  <c r="T120" i="16"/>
  <c r="S120" i="16"/>
  <c r="R120" i="16"/>
  <c r="Q120" i="16"/>
  <c r="M145" i="16" s="1"/>
  <c r="N145" i="16" s="1"/>
  <c r="Y145" i="16" s="1"/>
  <c r="AH145" i="16" s="1"/>
  <c r="AS145" i="16" s="1"/>
  <c r="P120" i="16"/>
  <c r="O120" i="16"/>
  <c r="K145" i="16" s="1"/>
  <c r="N120" i="16"/>
  <c r="M120" i="16"/>
  <c r="I145" i="16" s="1"/>
  <c r="L120" i="16"/>
  <c r="K120" i="16"/>
  <c r="G145" i="16" s="1"/>
  <c r="J120" i="16"/>
  <c r="I120" i="16"/>
  <c r="H120" i="16"/>
  <c r="G120" i="16"/>
  <c r="F120" i="16"/>
  <c r="E120" i="16"/>
  <c r="D120" i="16"/>
  <c r="C120" i="16"/>
  <c r="Z119" i="16"/>
  <c r="Y119" i="16"/>
  <c r="X119" i="16"/>
  <c r="W119" i="16"/>
  <c r="V119" i="16"/>
  <c r="U119" i="16"/>
  <c r="T119" i="16"/>
  <c r="S119" i="16"/>
  <c r="R119" i="16"/>
  <c r="Q119" i="16"/>
  <c r="M144" i="16" s="1"/>
  <c r="N144" i="16" s="1"/>
  <c r="Y144" i="16" s="1"/>
  <c r="AH144" i="16" s="1"/>
  <c r="AS144" i="16" s="1"/>
  <c r="P119" i="16"/>
  <c r="O119" i="16"/>
  <c r="K144" i="16" s="1"/>
  <c r="N119" i="16"/>
  <c r="M119" i="16"/>
  <c r="I144" i="16" s="1"/>
  <c r="L119" i="16"/>
  <c r="K119" i="16"/>
  <c r="G144" i="16" s="1"/>
  <c r="J119" i="16"/>
  <c r="I119" i="16"/>
  <c r="H119" i="16"/>
  <c r="G119" i="16"/>
  <c r="F119" i="16"/>
  <c r="E119" i="16"/>
  <c r="D119" i="16"/>
  <c r="C119" i="16"/>
  <c r="Z118" i="16"/>
  <c r="Y118" i="16"/>
  <c r="X118" i="16"/>
  <c r="W118" i="16"/>
  <c r="V118" i="16"/>
  <c r="U118" i="16"/>
  <c r="T118" i="16"/>
  <c r="S118" i="16"/>
  <c r="R118" i="16"/>
  <c r="Q118" i="16"/>
  <c r="M143" i="16" s="1"/>
  <c r="N143" i="16" s="1"/>
  <c r="Y143" i="16" s="1"/>
  <c r="AH143" i="16" s="1"/>
  <c r="AS143" i="16" s="1"/>
  <c r="P118" i="16"/>
  <c r="O118" i="16"/>
  <c r="K143" i="16" s="1"/>
  <c r="N118" i="16"/>
  <c r="M118" i="16"/>
  <c r="I143" i="16" s="1"/>
  <c r="L118" i="16"/>
  <c r="K118" i="16"/>
  <c r="G143" i="16" s="1"/>
  <c r="J118" i="16"/>
  <c r="I118" i="16"/>
  <c r="H118" i="16"/>
  <c r="G118" i="16"/>
  <c r="F118" i="16"/>
  <c r="E118" i="16"/>
  <c r="D118" i="16"/>
  <c r="C118" i="16"/>
  <c r="Z117" i="16"/>
  <c r="Y117" i="16"/>
  <c r="X117" i="16"/>
  <c r="W117" i="16"/>
  <c r="V117" i="16"/>
  <c r="U117" i="16"/>
  <c r="T117" i="16"/>
  <c r="S117" i="16"/>
  <c r="R117" i="16"/>
  <c r="Q117" i="16"/>
  <c r="M142" i="16" s="1"/>
  <c r="P117" i="16"/>
  <c r="O117" i="16"/>
  <c r="K142" i="16" s="1"/>
  <c r="N117" i="16"/>
  <c r="M117" i="16"/>
  <c r="I142" i="16" s="1"/>
  <c r="L117" i="16"/>
  <c r="K117" i="16"/>
  <c r="G142" i="16" s="1"/>
  <c r="J117" i="16"/>
  <c r="I117" i="16"/>
  <c r="H117" i="16"/>
  <c r="G117" i="16"/>
  <c r="F117" i="16"/>
  <c r="E117" i="16"/>
  <c r="D117" i="16"/>
  <c r="C117" i="16"/>
  <c r="Z116" i="16"/>
  <c r="Y116" i="16"/>
  <c r="X116" i="16"/>
  <c r="W116" i="16"/>
  <c r="V116" i="16"/>
  <c r="U116" i="16"/>
  <c r="T116" i="16"/>
  <c r="S116" i="16"/>
  <c r="R116" i="16"/>
  <c r="Q116" i="16"/>
  <c r="M141" i="16" s="1"/>
  <c r="P116" i="16"/>
  <c r="O116" i="16"/>
  <c r="K141" i="16" s="1"/>
  <c r="N116" i="16"/>
  <c r="M116" i="16"/>
  <c r="I141" i="16" s="1"/>
  <c r="L116" i="16"/>
  <c r="K116" i="16"/>
  <c r="G141" i="16" s="1"/>
  <c r="J116" i="16"/>
  <c r="I116" i="16"/>
  <c r="H116" i="16"/>
  <c r="G116" i="16"/>
  <c r="F116" i="16"/>
  <c r="E116" i="16"/>
  <c r="D116" i="16"/>
  <c r="C116" i="16"/>
  <c r="Z115" i="16"/>
  <c r="Y115" i="16"/>
  <c r="X115" i="16"/>
  <c r="W115" i="16"/>
  <c r="V115" i="16"/>
  <c r="U115" i="16"/>
  <c r="T115" i="16"/>
  <c r="S115" i="16"/>
  <c r="R115" i="16"/>
  <c r="Q115" i="16"/>
  <c r="M140" i="16" s="1"/>
  <c r="P115" i="16"/>
  <c r="O115" i="16"/>
  <c r="K140" i="16" s="1"/>
  <c r="N115" i="16"/>
  <c r="M115" i="16"/>
  <c r="I140" i="16" s="1"/>
  <c r="L115" i="16"/>
  <c r="K115" i="16"/>
  <c r="G140" i="16" s="1"/>
  <c r="J115" i="16"/>
  <c r="I115" i="16"/>
  <c r="H115" i="16"/>
  <c r="G115" i="16"/>
  <c r="F115" i="16"/>
  <c r="E115" i="16"/>
  <c r="D115" i="16"/>
  <c r="C115" i="16"/>
  <c r="Z114" i="16"/>
  <c r="Y114" i="16"/>
  <c r="X114" i="16"/>
  <c r="W114" i="16"/>
  <c r="V114" i="16"/>
  <c r="U114" i="16"/>
  <c r="T114" i="16"/>
  <c r="S114" i="16"/>
  <c r="R114" i="16"/>
  <c r="Q114" i="16"/>
  <c r="M139" i="16" s="1"/>
  <c r="P114" i="16"/>
  <c r="O114" i="16"/>
  <c r="K139" i="16" s="1"/>
  <c r="N114" i="16"/>
  <c r="M114" i="16"/>
  <c r="I139" i="16" s="1"/>
  <c r="L114" i="16"/>
  <c r="K114" i="16"/>
  <c r="G139" i="16" s="1"/>
  <c r="J114" i="16"/>
  <c r="I114" i="16"/>
  <c r="H114" i="16"/>
  <c r="G114" i="16"/>
  <c r="F114" i="16"/>
  <c r="E114" i="16"/>
  <c r="D114" i="16"/>
  <c r="C114" i="16"/>
  <c r="Z113" i="16"/>
  <c r="Y113" i="16"/>
  <c r="X113" i="16"/>
  <c r="W113" i="16"/>
  <c r="V113" i="16"/>
  <c r="U113" i="16"/>
  <c r="T113" i="16"/>
  <c r="S113" i="16"/>
  <c r="R113" i="16"/>
  <c r="Q113" i="16"/>
  <c r="M138" i="16" s="1"/>
  <c r="P113" i="16"/>
  <c r="O113" i="16"/>
  <c r="K138" i="16" s="1"/>
  <c r="N113" i="16"/>
  <c r="M113" i="16"/>
  <c r="I138" i="16" s="1"/>
  <c r="L113" i="16"/>
  <c r="K113" i="16"/>
  <c r="G138" i="16" s="1"/>
  <c r="J113" i="16"/>
  <c r="I113" i="16"/>
  <c r="H113" i="16"/>
  <c r="G113" i="16"/>
  <c r="F113" i="16"/>
  <c r="E113" i="16"/>
  <c r="D113" i="16"/>
  <c r="C113" i="16"/>
  <c r="Z112" i="16"/>
  <c r="Y112" i="16"/>
  <c r="X112" i="16"/>
  <c r="W112" i="16"/>
  <c r="V112" i="16"/>
  <c r="U112" i="16"/>
  <c r="T112" i="16"/>
  <c r="S112" i="16"/>
  <c r="R112" i="16"/>
  <c r="Q112" i="16"/>
  <c r="M137" i="16" s="1"/>
  <c r="N137" i="16" s="1"/>
  <c r="Y137" i="16" s="1"/>
  <c r="AH137" i="16" s="1"/>
  <c r="AS137" i="16" s="1"/>
  <c r="P112" i="16"/>
  <c r="O112" i="16"/>
  <c r="K137" i="16" s="1"/>
  <c r="N112" i="16"/>
  <c r="M112" i="16"/>
  <c r="I137" i="16" s="1"/>
  <c r="L112" i="16"/>
  <c r="K112" i="16"/>
  <c r="G137" i="16" s="1"/>
  <c r="J112" i="16"/>
  <c r="I112" i="16"/>
  <c r="H112" i="16"/>
  <c r="G112" i="16"/>
  <c r="F112" i="16"/>
  <c r="E112" i="16"/>
  <c r="D112" i="16"/>
  <c r="C112" i="16"/>
  <c r="Z111" i="16"/>
  <c r="Y111" i="16"/>
  <c r="X111" i="16"/>
  <c r="W111" i="16"/>
  <c r="V111" i="16"/>
  <c r="U111" i="16"/>
  <c r="T111" i="16"/>
  <c r="S111" i="16"/>
  <c r="R111" i="16"/>
  <c r="Q111" i="16"/>
  <c r="M136" i="16" s="1"/>
  <c r="P111" i="16"/>
  <c r="O111" i="16"/>
  <c r="K136" i="16" s="1"/>
  <c r="N111" i="16"/>
  <c r="M111" i="16"/>
  <c r="I136" i="16" s="1"/>
  <c r="L111" i="16"/>
  <c r="K111" i="16"/>
  <c r="G136" i="16" s="1"/>
  <c r="J111" i="16"/>
  <c r="I111" i="16"/>
  <c r="H111" i="16"/>
  <c r="G111" i="16"/>
  <c r="F111" i="16"/>
  <c r="E111" i="16"/>
  <c r="D111" i="16"/>
  <c r="C111" i="16"/>
  <c r="Z110" i="16"/>
  <c r="Y110" i="16"/>
  <c r="X110" i="16"/>
  <c r="W110" i="16"/>
  <c r="V110" i="16"/>
  <c r="U110" i="16"/>
  <c r="T110" i="16"/>
  <c r="S110" i="16"/>
  <c r="R110" i="16"/>
  <c r="Q110" i="16"/>
  <c r="M135" i="16" s="1"/>
  <c r="P110" i="16"/>
  <c r="O110" i="16"/>
  <c r="K135" i="16" s="1"/>
  <c r="N110" i="16"/>
  <c r="M110" i="16"/>
  <c r="I135" i="16" s="1"/>
  <c r="L110" i="16"/>
  <c r="K110" i="16"/>
  <c r="G135" i="16" s="1"/>
  <c r="J110" i="16"/>
  <c r="I110" i="16"/>
  <c r="H110" i="16"/>
  <c r="G110" i="16"/>
  <c r="F110" i="16"/>
  <c r="E110" i="16"/>
  <c r="D110" i="16"/>
  <c r="C110" i="16"/>
  <c r="Z109" i="16"/>
  <c r="Y109" i="16"/>
  <c r="X109" i="16"/>
  <c r="W109" i="16"/>
  <c r="V109" i="16"/>
  <c r="U109" i="16"/>
  <c r="T109" i="16"/>
  <c r="S109" i="16"/>
  <c r="R109" i="16"/>
  <c r="Q109" i="16"/>
  <c r="M134" i="16" s="1"/>
  <c r="N134" i="16" s="1"/>
  <c r="Y134" i="16" s="1"/>
  <c r="AH134" i="16" s="1"/>
  <c r="AS134" i="16" s="1"/>
  <c r="P109" i="16"/>
  <c r="O109" i="16"/>
  <c r="K134" i="16" s="1"/>
  <c r="N109" i="16"/>
  <c r="M109" i="16"/>
  <c r="I134" i="16" s="1"/>
  <c r="L109" i="16"/>
  <c r="K109" i="16"/>
  <c r="G134" i="16" s="1"/>
  <c r="J109" i="16"/>
  <c r="I109" i="16"/>
  <c r="H109" i="16"/>
  <c r="G109" i="16"/>
  <c r="F109" i="16"/>
  <c r="E109" i="16"/>
  <c r="D109" i="16"/>
  <c r="C109" i="16"/>
  <c r="Z108" i="16"/>
  <c r="Y108" i="16"/>
  <c r="X108" i="16"/>
  <c r="W108" i="16"/>
  <c r="V108" i="16"/>
  <c r="U108" i="16"/>
  <c r="T108" i="16"/>
  <c r="S108" i="16"/>
  <c r="R108" i="16"/>
  <c r="Q108" i="16"/>
  <c r="M133" i="16" s="1"/>
  <c r="P108" i="16"/>
  <c r="O108" i="16"/>
  <c r="K133" i="16" s="1"/>
  <c r="N108" i="16"/>
  <c r="M108" i="16"/>
  <c r="I133" i="16" s="1"/>
  <c r="L108" i="16"/>
  <c r="K108" i="16"/>
  <c r="J108" i="16"/>
  <c r="I108" i="16"/>
  <c r="H108" i="16"/>
  <c r="G108" i="16"/>
  <c r="F108" i="16"/>
  <c r="E108" i="16"/>
  <c r="D108" i="16"/>
  <c r="C108" i="16"/>
  <c r="Y107" i="16"/>
  <c r="W107" i="16"/>
  <c r="U107" i="16"/>
  <c r="S107" i="16"/>
  <c r="Q107" i="16"/>
  <c r="M132" i="16" s="1"/>
  <c r="N151" i="16" s="1"/>
  <c r="Y151" i="16" s="1"/>
  <c r="AH151" i="16" s="1"/>
  <c r="AS151" i="16" s="1"/>
  <c r="O107" i="16"/>
  <c r="K132" i="16" s="1"/>
  <c r="L146" i="16" s="1"/>
  <c r="X146" i="16" s="1"/>
  <c r="AG146" i="16" s="1"/>
  <c r="AR146" i="16" s="1"/>
  <c r="M107" i="16"/>
  <c r="I132" i="16" s="1"/>
  <c r="K107" i="16"/>
  <c r="G132" i="16" s="1"/>
  <c r="I107" i="16"/>
  <c r="G107" i="16"/>
  <c r="E107" i="16"/>
  <c r="C107" i="16"/>
  <c r="AB56" i="16"/>
  <c r="AB57" i="16"/>
  <c r="AB58" i="16"/>
  <c r="AB59" i="16"/>
  <c r="AB60" i="16"/>
  <c r="AB61" i="16"/>
  <c r="AB62" i="16"/>
  <c r="AB63" i="16"/>
  <c r="AB64" i="16"/>
  <c r="AB65" i="16"/>
  <c r="AB66" i="16"/>
  <c r="AB67" i="16"/>
  <c r="AB68" i="16"/>
  <c r="AB69" i="16"/>
  <c r="AB70" i="16"/>
  <c r="AB71" i="16"/>
  <c r="AB72" i="16"/>
  <c r="AB73" i="16"/>
  <c r="AB74" i="16"/>
  <c r="AB75" i="16"/>
  <c r="AB76" i="16"/>
  <c r="AA57" i="16"/>
  <c r="AA58" i="16"/>
  <c r="AA59" i="16"/>
  <c r="AA60" i="16"/>
  <c r="AA61" i="16"/>
  <c r="AA62" i="16"/>
  <c r="AA63" i="16"/>
  <c r="AA64" i="16"/>
  <c r="AA65" i="16"/>
  <c r="AA66" i="16"/>
  <c r="AA67" i="16"/>
  <c r="AA68" i="16"/>
  <c r="AA69" i="16"/>
  <c r="AA70" i="16"/>
  <c r="AA71" i="16"/>
  <c r="AA72" i="16"/>
  <c r="AA73" i="16"/>
  <c r="AA74" i="16"/>
  <c r="AA75" i="16"/>
  <c r="AA76" i="16"/>
  <c r="BG53" i="16"/>
  <c r="AA56" i="16" s="1"/>
  <c r="Z76" i="16"/>
  <c r="Y76" i="16"/>
  <c r="X76" i="16"/>
  <c r="W76" i="16"/>
  <c r="V76" i="16"/>
  <c r="U76" i="16"/>
  <c r="T76" i="16"/>
  <c r="S76" i="16"/>
  <c r="R76" i="16"/>
  <c r="Q76" i="16"/>
  <c r="P76" i="16"/>
  <c r="O76" i="16"/>
  <c r="N76" i="16"/>
  <c r="M76" i="16"/>
  <c r="L76" i="16"/>
  <c r="K76" i="16"/>
  <c r="J76" i="16"/>
  <c r="I76" i="16"/>
  <c r="H76" i="16"/>
  <c r="G76" i="16"/>
  <c r="F76" i="16"/>
  <c r="E76" i="16"/>
  <c r="Z75" i="16"/>
  <c r="Y75" i="16"/>
  <c r="X75" i="16"/>
  <c r="W75" i="16"/>
  <c r="V75" i="16"/>
  <c r="U75" i="16"/>
  <c r="T75" i="16"/>
  <c r="S75" i="16"/>
  <c r="R75" i="16"/>
  <c r="Q75" i="16"/>
  <c r="P75" i="16"/>
  <c r="O75" i="16"/>
  <c r="N75" i="16"/>
  <c r="M75" i="16"/>
  <c r="L75" i="16"/>
  <c r="K75" i="16"/>
  <c r="J75" i="16"/>
  <c r="I75" i="16"/>
  <c r="H75" i="16"/>
  <c r="G75" i="16"/>
  <c r="F75" i="16"/>
  <c r="E75" i="16"/>
  <c r="Z74" i="16"/>
  <c r="Y74" i="16"/>
  <c r="X74" i="16"/>
  <c r="W74" i="16"/>
  <c r="V74" i="16"/>
  <c r="U74" i="16"/>
  <c r="T74" i="16"/>
  <c r="S74" i="16"/>
  <c r="R74" i="16"/>
  <c r="Q74" i="16"/>
  <c r="P74" i="16"/>
  <c r="O74" i="16"/>
  <c r="N74" i="16"/>
  <c r="M74" i="16"/>
  <c r="L74" i="16"/>
  <c r="K74" i="16"/>
  <c r="J74" i="16"/>
  <c r="I74" i="16"/>
  <c r="H74" i="16"/>
  <c r="G74" i="16"/>
  <c r="F74" i="16"/>
  <c r="E74" i="16"/>
  <c r="Z73" i="16"/>
  <c r="Y73" i="16"/>
  <c r="X73" i="16"/>
  <c r="W73" i="16"/>
  <c r="V73" i="16"/>
  <c r="U73" i="16"/>
  <c r="T73" i="16"/>
  <c r="S73" i="16"/>
  <c r="R73" i="16"/>
  <c r="Q73" i="16"/>
  <c r="P73" i="16"/>
  <c r="O73" i="16"/>
  <c r="N73" i="16"/>
  <c r="M73" i="16"/>
  <c r="L73" i="16"/>
  <c r="K73" i="16"/>
  <c r="J73" i="16"/>
  <c r="I73" i="16"/>
  <c r="H73" i="16"/>
  <c r="G73" i="16"/>
  <c r="F73" i="16"/>
  <c r="E73" i="16"/>
  <c r="Z72" i="16"/>
  <c r="Y72" i="16"/>
  <c r="X72" i="16"/>
  <c r="W72" i="16"/>
  <c r="V72" i="16"/>
  <c r="U72" i="16"/>
  <c r="T72" i="16"/>
  <c r="S72" i="16"/>
  <c r="R72" i="16"/>
  <c r="Q72" i="16"/>
  <c r="P72" i="16"/>
  <c r="O72" i="16"/>
  <c r="N72" i="16"/>
  <c r="M72" i="16"/>
  <c r="L72" i="16"/>
  <c r="K72" i="16"/>
  <c r="J72" i="16"/>
  <c r="I72" i="16"/>
  <c r="H72" i="16"/>
  <c r="G72" i="16"/>
  <c r="F72" i="16"/>
  <c r="E72" i="16"/>
  <c r="Z71" i="16"/>
  <c r="Y71" i="16"/>
  <c r="X71" i="16"/>
  <c r="W71" i="16"/>
  <c r="V71" i="16"/>
  <c r="U71" i="16"/>
  <c r="T71" i="16"/>
  <c r="S71" i="16"/>
  <c r="R71" i="16"/>
  <c r="Q71" i="16"/>
  <c r="P71" i="16"/>
  <c r="O71" i="16"/>
  <c r="N71" i="16"/>
  <c r="M71" i="16"/>
  <c r="L71" i="16"/>
  <c r="K71" i="16"/>
  <c r="J71" i="16"/>
  <c r="I71" i="16"/>
  <c r="H71" i="16"/>
  <c r="G71" i="16"/>
  <c r="F71" i="16"/>
  <c r="E71" i="16"/>
  <c r="Z70" i="16"/>
  <c r="Y70" i="16"/>
  <c r="X70" i="16"/>
  <c r="W70" i="16"/>
  <c r="V70" i="16"/>
  <c r="U70" i="16"/>
  <c r="T70" i="16"/>
  <c r="S70" i="16"/>
  <c r="R70" i="16"/>
  <c r="Q70" i="16"/>
  <c r="P70" i="16"/>
  <c r="O70" i="16"/>
  <c r="N70" i="16"/>
  <c r="M70" i="16"/>
  <c r="L70" i="16"/>
  <c r="K70" i="16"/>
  <c r="J70" i="16"/>
  <c r="I70" i="16"/>
  <c r="H70" i="16"/>
  <c r="G70" i="16"/>
  <c r="F70" i="16"/>
  <c r="E70" i="16"/>
  <c r="Z69" i="16"/>
  <c r="Y69" i="16"/>
  <c r="X69" i="16"/>
  <c r="W69" i="16"/>
  <c r="V69" i="16"/>
  <c r="U69" i="16"/>
  <c r="T69" i="16"/>
  <c r="S69" i="16"/>
  <c r="R69" i="16"/>
  <c r="Q69" i="16"/>
  <c r="P69" i="16"/>
  <c r="O69" i="16"/>
  <c r="N69" i="16"/>
  <c r="M69" i="16"/>
  <c r="L69" i="16"/>
  <c r="K69" i="16"/>
  <c r="J69" i="16"/>
  <c r="I69" i="16"/>
  <c r="H69" i="16"/>
  <c r="G69" i="16"/>
  <c r="F69" i="16"/>
  <c r="E69" i="16"/>
  <c r="Z68" i="16"/>
  <c r="Y68" i="16"/>
  <c r="X68" i="16"/>
  <c r="W68" i="16"/>
  <c r="V68" i="16"/>
  <c r="U68" i="16"/>
  <c r="T68" i="16"/>
  <c r="S68" i="16"/>
  <c r="R68" i="16"/>
  <c r="Q68" i="16"/>
  <c r="P68" i="16"/>
  <c r="O68" i="16"/>
  <c r="N68" i="16"/>
  <c r="M68" i="16"/>
  <c r="L68" i="16"/>
  <c r="K68" i="16"/>
  <c r="J68" i="16"/>
  <c r="I68" i="16"/>
  <c r="H68" i="16"/>
  <c r="G68" i="16"/>
  <c r="F68" i="16"/>
  <c r="E68" i="16"/>
  <c r="Z67" i="16"/>
  <c r="Y67" i="16"/>
  <c r="X67" i="16"/>
  <c r="W67" i="16"/>
  <c r="V67" i="16"/>
  <c r="U67" i="16"/>
  <c r="T67" i="16"/>
  <c r="S67" i="16"/>
  <c r="R67" i="16"/>
  <c r="Q67" i="16"/>
  <c r="P67" i="16"/>
  <c r="O67" i="16"/>
  <c r="N67" i="16"/>
  <c r="M67" i="16"/>
  <c r="L67" i="16"/>
  <c r="K67" i="16"/>
  <c r="J67" i="16"/>
  <c r="I67" i="16"/>
  <c r="H67" i="16"/>
  <c r="G67" i="16"/>
  <c r="F67" i="16"/>
  <c r="E67" i="16"/>
  <c r="Z66" i="16"/>
  <c r="Y66" i="16"/>
  <c r="X66" i="16"/>
  <c r="W66" i="16"/>
  <c r="V66" i="16"/>
  <c r="U66" i="16"/>
  <c r="T66" i="16"/>
  <c r="S66" i="16"/>
  <c r="R66" i="16"/>
  <c r="Q66" i="16"/>
  <c r="P66" i="16"/>
  <c r="O66" i="16"/>
  <c r="N66" i="16"/>
  <c r="M66" i="16"/>
  <c r="L66" i="16"/>
  <c r="K66" i="16"/>
  <c r="J66" i="16"/>
  <c r="I66" i="16"/>
  <c r="H66" i="16"/>
  <c r="G66" i="16"/>
  <c r="F66" i="16"/>
  <c r="E66" i="16"/>
  <c r="Z65" i="16"/>
  <c r="Y65" i="16"/>
  <c r="X65" i="16"/>
  <c r="W65" i="16"/>
  <c r="V65" i="16"/>
  <c r="U65" i="16"/>
  <c r="T65" i="16"/>
  <c r="S65" i="16"/>
  <c r="R65" i="16"/>
  <c r="Q65" i="16"/>
  <c r="P65" i="16"/>
  <c r="O65" i="16"/>
  <c r="N65" i="16"/>
  <c r="M65" i="16"/>
  <c r="L65" i="16"/>
  <c r="K65" i="16"/>
  <c r="J65" i="16"/>
  <c r="I65" i="16"/>
  <c r="H65" i="16"/>
  <c r="G65" i="16"/>
  <c r="F65" i="16"/>
  <c r="E65" i="16"/>
  <c r="Z64" i="16"/>
  <c r="Y64" i="16"/>
  <c r="X64" i="16"/>
  <c r="W64" i="16"/>
  <c r="V64" i="16"/>
  <c r="U64" i="16"/>
  <c r="T64" i="16"/>
  <c r="S64" i="16"/>
  <c r="R64" i="16"/>
  <c r="Q64" i="16"/>
  <c r="P64" i="16"/>
  <c r="O64" i="16"/>
  <c r="N64" i="16"/>
  <c r="M64" i="16"/>
  <c r="L64" i="16"/>
  <c r="K64" i="16"/>
  <c r="J64" i="16"/>
  <c r="I64" i="16"/>
  <c r="H64" i="16"/>
  <c r="G64" i="16"/>
  <c r="F64" i="16"/>
  <c r="E64" i="16"/>
  <c r="Z63" i="16"/>
  <c r="Y63" i="16"/>
  <c r="X63" i="16"/>
  <c r="W63" i="16"/>
  <c r="V63" i="16"/>
  <c r="U63" i="16"/>
  <c r="T63" i="16"/>
  <c r="S63" i="16"/>
  <c r="R63" i="16"/>
  <c r="Q63" i="16"/>
  <c r="P63" i="16"/>
  <c r="O63" i="16"/>
  <c r="N63" i="16"/>
  <c r="M63" i="16"/>
  <c r="L63" i="16"/>
  <c r="K63" i="16"/>
  <c r="J63" i="16"/>
  <c r="I63" i="16"/>
  <c r="H63" i="16"/>
  <c r="G63" i="16"/>
  <c r="F63" i="16"/>
  <c r="E63" i="16"/>
  <c r="Z62" i="16"/>
  <c r="Y62" i="16"/>
  <c r="X62" i="16"/>
  <c r="W62" i="16"/>
  <c r="V62" i="16"/>
  <c r="U62" i="16"/>
  <c r="T62" i="16"/>
  <c r="S62" i="16"/>
  <c r="R62" i="16"/>
  <c r="Q62" i="16"/>
  <c r="P62" i="16"/>
  <c r="O62" i="16"/>
  <c r="N62" i="16"/>
  <c r="M62" i="16"/>
  <c r="L62" i="16"/>
  <c r="K62" i="16"/>
  <c r="J62" i="16"/>
  <c r="I62" i="16"/>
  <c r="H62" i="16"/>
  <c r="G62" i="16"/>
  <c r="F62" i="16"/>
  <c r="E62" i="16"/>
  <c r="Z61" i="16"/>
  <c r="Y61" i="16"/>
  <c r="X61" i="16"/>
  <c r="W61" i="16"/>
  <c r="V61" i="16"/>
  <c r="U61" i="16"/>
  <c r="T61" i="16"/>
  <c r="S61" i="16"/>
  <c r="R61" i="16"/>
  <c r="Q61" i="16"/>
  <c r="P61" i="16"/>
  <c r="O61" i="16"/>
  <c r="N61" i="16"/>
  <c r="M61" i="16"/>
  <c r="L61" i="16"/>
  <c r="K61" i="16"/>
  <c r="J61" i="16"/>
  <c r="I61" i="16"/>
  <c r="H61" i="16"/>
  <c r="G61" i="16"/>
  <c r="F61" i="16"/>
  <c r="E61" i="16"/>
  <c r="Z60" i="16"/>
  <c r="Y60" i="16"/>
  <c r="X60" i="16"/>
  <c r="W60" i="16"/>
  <c r="V60" i="16"/>
  <c r="U60" i="16"/>
  <c r="T60" i="16"/>
  <c r="S60" i="16"/>
  <c r="R60" i="16"/>
  <c r="Q60" i="16"/>
  <c r="P60" i="16"/>
  <c r="O60" i="16"/>
  <c r="N60" i="16"/>
  <c r="M60" i="16"/>
  <c r="L60" i="16"/>
  <c r="K60" i="16"/>
  <c r="J60" i="16"/>
  <c r="I60" i="16"/>
  <c r="H60" i="16"/>
  <c r="G60" i="16"/>
  <c r="F60" i="16"/>
  <c r="E60" i="16"/>
  <c r="Z59" i="16"/>
  <c r="Y59" i="16"/>
  <c r="X59" i="16"/>
  <c r="W59" i="16"/>
  <c r="V59" i="16"/>
  <c r="U59" i="16"/>
  <c r="T59" i="16"/>
  <c r="S59" i="16"/>
  <c r="R59" i="16"/>
  <c r="Q59" i="16"/>
  <c r="P59" i="16"/>
  <c r="O59" i="16"/>
  <c r="N59" i="16"/>
  <c r="M59" i="16"/>
  <c r="L59" i="16"/>
  <c r="K59" i="16"/>
  <c r="J59" i="16"/>
  <c r="I59" i="16"/>
  <c r="H59" i="16"/>
  <c r="G59" i="16"/>
  <c r="F59" i="16"/>
  <c r="E59" i="16"/>
  <c r="Z58" i="16"/>
  <c r="Y58" i="16"/>
  <c r="X58" i="16"/>
  <c r="W58" i="16"/>
  <c r="V58" i="16"/>
  <c r="U58" i="16"/>
  <c r="T58" i="16"/>
  <c r="S58" i="16"/>
  <c r="R58" i="16"/>
  <c r="Q58" i="16"/>
  <c r="P58" i="16"/>
  <c r="O58" i="16"/>
  <c r="N58" i="16"/>
  <c r="M58" i="16"/>
  <c r="L58" i="16"/>
  <c r="K58" i="16"/>
  <c r="J58" i="16"/>
  <c r="I58" i="16"/>
  <c r="H58" i="16"/>
  <c r="G58" i="16"/>
  <c r="F58" i="16"/>
  <c r="E58" i="16"/>
  <c r="Z57" i="16"/>
  <c r="Y57" i="16"/>
  <c r="X57" i="16"/>
  <c r="W57" i="16"/>
  <c r="V57" i="16"/>
  <c r="U57" i="16"/>
  <c r="T57" i="16"/>
  <c r="S57" i="16"/>
  <c r="R57" i="16"/>
  <c r="Q57" i="16"/>
  <c r="P57" i="16"/>
  <c r="O57" i="16"/>
  <c r="N57" i="16"/>
  <c r="M57" i="16"/>
  <c r="L57" i="16"/>
  <c r="K57" i="16"/>
  <c r="J57" i="16"/>
  <c r="I57" i="16"/>
  <c r="H57" i="16"/>
  <c r="G57" i="16"/>
  <c r="F57" i="16"/>
  <c r="E57" i="16"/>
  <c r="Y56" i="16"/>
  <c r="W56" i="16"/>
  <c r="U56" i="16"/>
  <c r="S56" i="16"/>
  <c r="Q56" i="16"/>
  <c r="O56" i="16"/>
  <c r="M56" i="16"/>
  <c r="K56" i="16"/>
  <c r="I56" i="16"/>
  <c r="G56" i="16"/>
  <c r="E56" i="16"/>
  <c r="D57" i="16"/>
  <c r="D58" i="16"/>
  <c r="D59" i="16"/>
  <c r="D60" i="16"/>
  <c r="D61" i="16"/>
  <c r="D62" i="16"/>
  <c r="D63" i="16"/>
  <c r="D64" i="16"/>
  <c r="D65" i="16"/>
  <c r="D66" i="16"/>
  <c r="D67" i="16"/>
  <c r="D68" i="16"/>
  <c r="D69" i="16"/>
  <c r="D70" i="16"/>
  <c r="D71" i="16"/>
  <c r="D72" i="16"/>
  <c r="D73" i="16"/>
  <c r="D74" i="16"/>
  <c r="D75" i="16"/>
  <c r="D76" i="16"/>
  <c r="CW16" i="2" l="1"/>
  <c r="CW9" i="2"/>
  <c r="CW18" i="2"/>
  <c r="CW10" i="2"/>
  <c r="CW19" i="2"/>
  <c r="CW12" i="2"/>
  <c r="CW20" i="2"/>
  <c r="CW15" i="2"/>
  <c r="H141" i="16"/>
  <c r="V141" i="16" s="1"/>
  <c r="AE141" i="16" s="1"/>
  <c r="AP141" i="16" s="1"/>
  <c r="N142" i="16"/>
  <c r="Y142" i="16" s="1"/>
  <c r="AH142" i="16" s="1"/>
  <c r="AS142" i="16" s="1"/>
  <c r="H142" i="16"/>
  <c r="V142" i="16" s="1"/>
  <c r="AE142" i="16" s="1"/>
  <c r="AP142" i="16" s="1"/>
  <c r="J143" i="16"/>
  <c r="W143" i="16" s="1"/>
  <c r="AF143" i="16" s="1"/>
  <c r="AQ143" i="16" s="1"/>
  <c r="J144" i="16"/>
  <c r="W144" i="16" s="1"/>
  <c r="AF144" i="16" s="1"/>
  <c r="AQ144" i="16" s="1"/>
  <c r="AM30" i="16"/>
  <c r="AN30" i="16"/>
  <c r="G133" i="16"/>
  <c r="H133" i="16" s="1"/>
  <c r="V133" i="16" s="1"/>
  <c r="AE133" i="16" s="1"/>
  <c r="AP133" i="16" s="1"/>
  <c r="G50" i="3" s="1"/>
  <c r="E133" i="16"/>
  <c r="H135" i="16"/>
  <c r="V135" i="16" s="1"/>
  <c r="AE135" i="16" s="1"/>
  <c r="AP135" i="16" s="1"/>
  <c r="H140" i="16"/>
  <c r="V140" i="16" s="1"/>
  <c r="AE140" i="16" s="1"/>
  <c r="AP140" i="16" s="1"/>
  <c r="H143" i="16"/>
  <c r="V143" i="16" s="1"/>
  <c r="AE143" i="16" s="1"/>
  <c r="AP143" i="16" s="1"/>
  <c r="H145" i="16"/>
  <c r="V145" i="16" s="1"/>
  <c r="AE145" i="16" s="1"/>
  <c r="AP145" i="16" s="1"/>
  <c r="H152" i="16"/>
  <c r="V152" i="16" s="1"/>
  <c r="AE152" i="16" s="1"/>
  <c r="AP152" i="16" s="1"/>
  <c r="L140" i="16"/>
  <c r="X140" i="16" s="1"/>
  <c r="AG140" i="16" s="1"/>
  <c r="AR140" i="16" s="1"/>
  <c r="H138" i="16"/>
  <c r="V138" i="16" s="1"/>
  <c r="AE138" i="16" s="1"/>
  <c r="AP138" i="16" s="1"/>
  <c r="H150" i="16"/>
  <c r="V150" i="16" s="1"/>
  <c r="AE150" i="16" s="1"/>
  <c r="AP150" i="16" s="1"/>
  <c r="AN81" i="16"/>
  <c r="AM81" i="16"/>
  <c r="AL81" i="16"/>
  <c r="J133" i="16"/>
  <c r="W133" i="16" s="1"/>
  <c r="AF133" i="16" s="1"/>
  <c r="AQ133" i="16" s="1"/>
  <c r="H50" i="3" s="1"/>
  <c r="J134" i="16"/>
  <c r="W134" i="16" s="1"/>
  <c r="AF134" i="16" s="1"/>
  <c r="AQ134" i="16" s="1"/>
  <c r="J135" i="16"/>
  <c r="W135" i="16" s="1"/>
  <c r="AF135" i="16" s="1"/>
  <c r="AQ135" i="16" s="1"/>
  <c r="J137" i="16"/>
  <c r="W137" i="16" s="1"/>
  <c r="AF137" i="16" s="1"/>
  <c r="AQ137" i="16" s="1"/>
  <c r="Q138" i="16"/>
  <c r="Q139" i="16"/>
  <c r="Q140" i="16"/>
  <c r="J142" i="16"/>
  <c r="W142" i="16" s="1"/>
  <c r="AF142" i="16" s="1"/>
  <c r="AQ142" i="16" s="1"/>
  <c r="Q144" i="16"/>
  <c r="Q145" i="16"/>
  <c r="Q146" i="16"/>
  <c r="Q147" i="16"/>
  <c r="Q148" i="16"/>
  <c r="H136" i="16"/>
  <c r="V136" i="16" s="1"/>
  <c r="AE136" i="16" s="1"/>
  <c r="AP136" i="16" s="1"/>
  <c r="H139" i="16"/>
  <c r="V139" i="16" s="1"/>
  <c r="AE139" i="16" s="1"/>
  <c r="AP139" i="16" s="1"/>
  <c r="AL132" i="16"/>
  <c r="AM132" i="16"/>
  <c r="L149" i="16"/>
  <c r="X149" i="16" s="1"/>
  <c r="AG149" i="16" s="1"/>
  <c r="AR149" i="16" s="1"/>
  <c r="L148" i="16"/>
  <c r="X148" i="16" s="1"/>
  <c r="AG148" i="16" s="1"/>
  <c r="AR148" i="16" s="1"/>
  <c r="J136" i="16"/>
  <c r="W136" i="16" s="1"/>
  <c r="AF136" i="16" s="1"/>
  <c r="AQ136" i="16" s="1"/>
  <c r="J138" i="16"/>
  <c r="W138" i="16" s="1"/>
  <c r="AF138" i="16" s="1"/>
  <c r="AQ138" i="16" s="1"/>
  <c r="J140" i="16"/>
  <c r="W140" i="16" s="1"/>
  <c r="AF140" i="16" s="1"/>
  <c r="AQ140" i="16" s="1"/>
  <c r="Q141" i="16"/>
  <c r="J145" i="16"/>
  <c r="W145" i="16" s="1"/>
  <c r="AF145" i="16" s="1"/>
  <c r="AQ145" i="16" s="1"/>
  <c r="J146" i="16"/>
  <c r="W146" i="16" s="1"/>
  <c r="AF146" i="16" s="1"/>
  <c r="AQ146" i="16" s="1"/>
  <c r="J148" i="16"/>
  <c r="W148" i="16" s="1"/>
  <c r="AF148" i="16" s="1"/>
  <c r="AQ148" i="16" s="1"/>
  <c r="Q149" i="16"/>
  <c r="E135" i="16"/>
  <c r="L134" i="16"/>
  <c r="X134" i="16" s="1"/>
  <c r="AG134" i="16" s="1"/>
  <c r="AR134" i="16" s="1"/>
  <c r="L138" i="16"/>
  <c r="X138" i="16" s="1"/>
  <c r="AG138" i="16" s="1"/>
  <c r="AR138" i="16" s="1"/>
  <c r="L139" i="16"/>
  <c r="X139" i="16" s="1"/>
  <c r="AG139" i="16" s="1"/>
  <c r="AR139" i="16" s="1"/>
  <c r="E143" i="16"/>
  <c r="E147" i="16"/>
  <c r="L150" i="16"/>
  <c r="X150" i="16" s="1"/>
  <c r="AG150" i="16" s="1"/>
  <c r="AR150" i="16" s="1"/>
  <c r="H134" i="16"/>
  <c r="V134" i="16" s="1"/>
  <c r="AE134" i="16" s="1"/>
  <c r="AP134" i="16" s="1"/>
  <c r="H137" i="16"/>
  <c r="V137" i="16" s="1"/>
  <c r="AE137" i="16" s="1"/>
  <c r="AP137" i="16" s="1"/>
  <c r="H144" i="16"/>
  <c r="V144" i="16" s="1"/>
  <c r="AE144" i="16" s="1"/>
  <c r="AP144" i="16" s="1"/>
  <c r="H146" i="16"/>
  <c r="V146" i="16" s="1"/>
  <c r="AE146" i="16" s="1"/>
  <c r="AP146" i="16" s="1"/>
  <c r="H147" i="16"/>
  <c r="V147" i="16" s="1"/>
  <c r="AE147" i="16" s="1"/>
  <c r="AP147" i="16" s="1"/>
  <c r="H148" i="16"/>
  <c r="V148" i="16" s="1"/>
  <c r="AE148" i="16" s="1"/>
  <c r="AP148" i="16" s="1"/>
  <c r="H149" i="16"/>
  <c r="V149" i="16" s="1"/>
  <c r="AE149" i="16" s="1"/>
  <c r="AP149" i="16" s="1"/>
  <c r="H151" i="16"/>
  <c r="V151" i="16" s="1"/>
  <c r="AE151" i="16" s="1"/>
  <c r="AP151" i="16" s="1"/>
  <c r="E138" i="16"/>
  <c r="Q133" i="16"/>
  <c r="Q134" i="16"/>
  <c r="Q135" i="16"/>
  <c r="R135" i="16" s="1"/>
  <c r="Q136" i="16"/>
  <c r="Q137" i="16"/>
  <c r="J139" i="16"/>
  <c r="W139" i="16" s="1"/>
  <c r="AF139" i="16" s="1"/>
  <c r="AQ139" i="16" s="1"/>
  <c r="J141" i="16"/>
  <c r="W141" i="16" s="1"/>
  <c r="AF141" i="16" s="1"/>
  <c r="AQ141" i="16" s="1"/>
  <c r="Q142" i="16"/>
  <c r="Q143" i="16"/>
  <c r="J147" i="16"/>
  <c r="W147" i="16" s="1"/>
  <c r="AF147" i="16" s="1"/>
  <c r="AQ147" i="16" s="1"/>
  <c r="J149" i="16"/>
  <c r="W149" i="16" s="1"/>
  <c r="AF149" i="16" s="1"/>
  <c r="AQ149" i="16" s="1"/>
  <c r="J152" i="16"/>
  <c r="W152" i="16" s="1"/>
  <c r="AF152" i="16" s="1"/>
  <c r="AQ152" i="16" s="1"/>
  <c r="Q150" i="16"/>
  <c r="J151" i="16"/>
  <c r="W151" i="16" s="1"/>
  <c r="AF151" i="16" s="1"/>
  <c r="AQ151" i="16" s="1"/>
  <c r="Q152" i="16"/>
  <c r="Q132" i="16"/>
  <c r="N133" i="16"/>
  <c r="Y133" i="16" s="1"/>
  <c r="AH133" i="16" s="1"/>
  <c r="AS133" i="16" s="1"/>
  <c r="J50" i="3" s="1"/>
  <c r="N135" i="16"/>
  <c r="Y135" i="16" s="1"/>
  <c r="AH135" i="16" s="1"/>
  <c r="AS135" i="16" s="1"/>
  <c r="N136" i="16"/>
  <c r="Y136" i="16" s="1"/>
  <c r="AH136" i="16" s="1"/>
  <c r="AS136" i="16" s="1"/>
  <c r="N138" i="16"/>
  <c r="Y138" i="16" s="1"/>
  <c r="AH138" i="16" s="1"/>
  <c r="AS138" i="16" s="1"/>
  <c r="N139" i="16"/>
  <c r="Y139" i="16" s="1"/>
  <c r="AH139" i="16" s="1"/>
  <c r="AS139" i="16" s="1"/>
  <c r="N140" i="16"/>
  <c r="Y140" i="16" s="1"/>
  <c r="AH140" i="16" s="1"/>
  <c r="AS140" i="16" s="1"/>
  <c r="N141" i="16"/>
  <c r="Y141" i="16" s="1"/>
  <c r="AH141" i="16" s="1"/>
  <c r="AS141" i="16" s="1"/>
  <c r="N146" i="16"/>
  <c r="Y146" i="16" s="1"/>
  <c r="AH146" i="16" s="1"/>
  <c r="AS146" i="16" s="1"/>
  <c r="N147" i="16"/>
  <c r="Y147" i="16" s="1"/>
  <c r="AH147" i="16" s="1"/>
  <c r="AS147" i="16" s="1"/>
  <c r="N148" i="16"/>
  <c r="Y148" i="16" s="1"/>
  <c r="AH148" i="16" s="1"/>
  <c r="AS148" i="16" s="1"/>
  <c r="N149" i="16"/>
  <c r="Y149" i="16" s="1"/>
  <c r="AH149" i="16" s="1"/>
  <c r="AS149" i="16" s="1"/>
  <c r="N150" i="16"/>
  <c r="Y150" i="16" s="1"/>
  <c r="AH150" i="16" s="1"/>
  <c r="AS150" i="16" s="1"/>
  <c r="N152" i="16"/>
  <c r="Y152" i="16" s="1"/>
  <c r="AH152" i="16" s="1"/>
  <c r="AS152" i="16" s="1"/>
  <c r="AW30" i="16"/>
  <c r="AV30" i="16"/>
  <c r="J150" i="16"/>
  <c r="W150" i="16" s="1"/>
  <c r="AF150" i="16" s="1"/>
  <c r="AQ150" i="16" s="1"/>
  <c r="Q151" i="16"/>
  <c r="L133" i="16"/>
  <c r="X133" i="16" s="1"/>
  <c r="AG133" i="16" s="1"/>
  <c r="AR133" i="16" s="1"/>
  <c r="I50" i="3" s="1"/>
  <c r="E134" i="16"/>
  <c r="F134" i="16" s="1"/>
  <c r="U134" i="16" s="1"/>
  <c r="AD134" i="16" s="1"/>
  <c r="AO134" i="16" s="1"/>
  <c r="L135" i="16"/>
  <c r="X135" i="16" s="1"/>
  <c r="AG135" i="16" s="1"/>
  <c r="AR135" i="16" s="1"/>
  <c r="E136" i="16"/>
  <c r="L136" i="16"/>
  <c r="X136" i="16" s="1"/>
  <c r="AG136" i="16" s="1"/>
  <c r="AR136" i="16" s="1"/>
  <c r="E137" i="16"/>
  <c r="F137" i="16" s="1"/>
  <c r="U137" i="16" s="1"/>
  <c r="AD137" i="16" s="1"/>
  <c r="AO137" i="16" s="1"/>
  <c r="L137" i="16"/>
  <c r="X137" i="16" s="1"/>
  <c r="AG137" i="16" s="1"/>
  <c r="AR137" i="16" s="1"/>
  <c r="E139" i="16"/>
  <c r="E140" i="16"/>
  <c r="E141" i="16"/>
  <c r="F141" i="16" s="1"/>
  <c r="U141" i="16" s="1"/>
  <c r="AD141" i="16" s="1"/>
  <c r="AO141" i="16" s="1"/>
  <c r="L141" i="16"/>
  <c r="X141" i="16" s="1"/>
  <c r="AG141" i="16" s="1"/>
  <c r="AR141" i="16" s="1"/>
  <c r="E142" i="16"/>
  <c r="L142" i="16"/>
  <c r="X142" i="16" s="1"/>
  <c r="AG142" i="16" s="1"/>
  <c r="AR142" i="16" s="1"/>
  <c r="L143" i="16"/>
  <c r="X143" i="16" s="1"/>
  <c r="AG143" i="16" s="1"/>
  <c r="AR143" i="16" s="1"/>
  <c r="E144" i="16"/>
  <c r="F144" i="16" s="1"/>
  <c r="U144" i="16" s="1"/>
  <c r="AD144" i="16" s="1"/>
  <c r="AO144" i="16" s="1"/>
  <c r="L144" i="16"/>
  <c r="X144" i="16" s="1"/>
  <c r="AG144" i="16" s="1"/>
  <c r="AR144" i="16" s="1"/>
  <c r="E145" i="16"/>
  <c r="L145" i="16"/>
  <c r="X145" i="16" s="1"/>
  <c r="AG145" i="16" s="1"/>
  <c r="AR145" i="16" s="1"/>
  <c r="E146" i="16"/>
  <c r="L147" i="16"/>
  <c r="X147" i="16" s="1"/>
  <c r="AG147" i="16" s="1"/>
  <c r="AR147" i="16" s="1"/>
  <c r="E148" i="16"/>
  <c r="F148" i="16" s="1"/>
  <c r="U148" i="16" s="1"/>
  <c r="AD148" i="16" s="1"/>
  <c r="AO148" i="16" s="1"/>
  <c r="E149" i="16"/>
  <c r="F149" i="16" s="1"/>
  <c r="U149" i="16" s="1"/>
  <c r="AD149" i="16" s="1"/>
  <c r="AO149" i="16" s="1"/>
  <c r="E150" i="16"/>
  <c r="F150" i="16" s="1"/>
  <c r="U150" i="16" s="1"/>
  <c r="AD150" i="16" s="1"/>
  <c r="AO150" i="16" s="1"/>
  <c r="E151" i="16"/>
  <c r="F151" i="16" s="1"/>
  <c r="U151" i="16" s="1"/>
  <c r="AD151" i="16" s="1"/>
  <c r="AO151" i="16" s="1"/>
  <c r="L151" i="16"/>
  <c r="X151" i="16" s="1"/>
  <c r="AG151" i="16" s="1"/>
  <c r="AR151" i="16" s="1"/>
  <c r="E152" i="16"/>
  <c r="F152" i="16" s="1"/>
  <c r="U152" i="16" s="1"/>
  <c r="AD152" i="16" s="1"/>
  <c r="AO152" i="16" s="1"/>
  <c r="L152" i="16"/>
  <c r="X152" i="16" s="1"/>
  <c r="AG152" i="16" s="1"/>
  <c r="AR152" i="16" s="1"/>
  <c r="E132" i="16"/>
  <c r="AN132" i="16"/>
  <c r="C135" i="16"/>
  <c r="C139" i="16"/>
  <c r="C132" i="16"/>
  <c r="C134" i="16"/>
  <c r="D134" i="16" s="1"/>
  <c r="T134" i="16" s="1"/>
  <c r="AC134" i="16" s="1"/>
  <c r="C138" i="16"/>
  <c r="C142" i="16"/>
  <c r="D142" i="16" s="1"/>
  <c r="T142" i="16" s="1"/>
  <c r="AC142" i="16" s="1"/>
  <c r="C146" i="16"/>
  <c r="C150" i="16"/>
  <c r="C143" i="16"/>
  <c r="C147" i="16"/>
  <c r="C151" i="16"/>
  <c r="D151" i="16" s="1"/>
  <c r="T151" i="16" s="1"/>
  <c r="AC151" i="16" s="1"/>
  <c r="C133" i="16"/>
  <c r="D133" i="16" s="1"/>
  <c r="T133" i="16" s="1"/>
  <c r="AC133" i="16" s="1"/>
  <c r="C137" i="16"/>
  <c r="C141" i="16"/>
  <c r="D141" i="16" s="1"/>
  <c r="T141" i="16" s="1"/>
  <c r="AC141" i="16" s="1"/>
  <c r="C145" i="16"/>
  <c r="C149" i="16"/>
  <c r="C136" i="16"/>
  <c r="C140" i="16"/>
  <c r="C144" i="16"/>
  <c r="D144" i="16" s="1"/>
  <c r="T144" i="16" s="1"/>
  <c r="AC144" i="16" s="1"/>
  <c r="C148" i="16"/>
  <c r="D148" i="16" s="1"/>
  <c r="T148" i="16" s="1"/>
  <c r="AC148" i="16" s="1"/>
  <c r="C152" i="16"/>
  <c r="C57" i="16"/>
  <c r="C58" i="16"/>
  <c r="C59" i="16"/>
  <c r="C60" i="16"/>
  <c r="C61" i="16"/>
  <c r="C62" i="16"/>
  <c r="C63" i="16"/>
  <c r="C64" i="16"/>
  <c r="C65" i="16"/>
  <c r="C66" i="16"/>
  <c r="C67" i="16"/>
  <c r="C68" i="16"/>
  <c r="C69" i="16"/>
  <c r="C70" i="16"/>
  <c r="C71" i="16"/>
  <c r="C72" i="16"/>
  <c r="C73" i="16"/>
  <c r="C74" i="16"/>
  <c r="C75" i="16"/>
  <c r="C76" i="16"/>
  <c r="C56" i="16"/>
  <c r="C81" i="16" s="1"/>
  <c r="R150" i="16" l="1"/>
  <c r="AA150" i="16" s="1"/>
  <c r="R137" i="16"/>
  <c r="F143" i="16"/>
  <c r="U143" i="16" s="1"/>
  <c r="AD143" i="16" s="1"/>
  <c r="AO143" i="16" s="1"/>
  <c r="R136" i="16"/>
  <c r="R139" i="16"/>
  <c r="F145" i="16"/>
  <c r="U145" i="16" s="1"/>
  <c r="AD145" i="16" s="1"/>
  <c r="AO145" i="16" s="1"/>
  <c r="F140" i="16"/>
  <c r="U140" i="16" s="1"/>
  <c r="AD140" i="16" s="1"/>
  <c r="AO140" i="16" s="1"/>
  <c r="R134" i="16"/>
  <c r="R148" i="16"/>
  <c r="AA148" i="16" s="1"/>
  <c r="R138" i="16"/>
  <c r="F139" i="16"/>
  <c r="U139" i="16" s="1"/>
  <c r="AD139" i="16" s="1"/>
  <c r="AO139" i="16" s="1"/>
  <c r="R151" i="16"/>
  <c r="R143" i="16"/>
  <c r="R133" i="16"/>
  <c r="F135" i="16"/>
  <c r="U135" i="16" s="1"/>
  <c r="AD135" i="16" s="1"/>
  <c r="AO135" i="16" s="1"/>
  <c r="R147" i="16"/>
  <c r="AL133" i="16"/>
  <c r="C50" i="3" s="1"/>
  <c r="AN133" i="16"/>
  <c r="E50" i="3" s="1"/>
  <c r="AM133" i="16"/>
  <c r="D50" i="3" s="1"/>
  <c r="AM141" i="16"/>
  <c r="AL141" i="16"/>
  <c r="AN141" i="16"/>
  <c r="AL142" i="16"/>
  <c r="AN142" i="16"/>
  <c r="AM142" i="16"/>
  <c r="AI150" i="16"/>
  <c r="AI137" i="16"/>
  <c r="AA137" i="16"/>
  <c r="D152" i="16"/>
  <c r="T152" i="16" s="1"/>
  <c r="AC152" i="16" s="1"/>
  <c r="D137" i="16"/>
  <c r="T137" i="16" s="1"/>
  <c r="AC137" i="16" s="1"/>
  <c r="D138" i="16"/>
  <c r="T138" i="16" s="1"/>
  <c r="AC138" i="16" s="1"/>
  <c r="AI136" i="16"/>
  <c r="AA136" i="16"/>
  <c r="R141" i="16"/>
  <c r="R140" i="16"/>
  <c r="AM134" i="16"/>
  <c r="AL134" i="16"/>
  <c r="AN134" i="16"/>
  <c r="AM151" i="16"/>
  <c r="AN151" i="16"/>
  <c r="AL151" i="16"/>
  <c r="AI148" i="16"/>
  <c r="D147" i="16"/>
  <c r="T147" i="16" s="1"/>
  <c r="AC147" i="16" s="1"/>
  <c r="AA133" i="16"/>
  <c r="AI133" i="16"/>
  <c r="D136" i="16"/>
  <c r="T136" i="16" s="1"/>
  <c r="AC136" i="16" s="1"/>
  <c r="D143" i="16"/>
  <c r="T143" i="16" s="1"/>
  <c r="AC143" i="16" s="1"/>
  <c r="D135" i="16"/>
  <c r="T135" i="16" s="1"/>
  <c r="AC135" i="16" s="1"/>
  <c r="R142" i="16"/>
  <c r="F138" i="16"/>
  <c r="U138" i="16" s="1"/>
  <c r="AD138" i="16" s="1"/>
  <c r="AO138" i="16" s="1"/>
  <c r="R149" i="16"/>
  <c r="R146" i="16"/>
  <c r="AA151" i="16"/>
  <c r="AI151" i="16"/>
  <c r="AA134" i="16"/>
  <c r="AI134" i="16"/>
  <c r="AA138" i="16"/>
  <c r="AI138" i="16"/>
  <c r="D140" i="16"/>
  <c r="T140" i="16" s="1"/>
  <c r="AC140" i="16" s="1"/>
  <c r="AI147" i="16"/>
  <c r="AA147" i="16"/>
  <c r="D149" i="16"/>
  <c r="T149" i="16" s="1"/>
  <c r="AC149" i="16" s="1"/>
  <c r="D150" i="16"/>
  <c r="T150" i="16" s="1"/>
  <c r="AC150" i="16" s="1"/>
  <c r="F142" i="16"/>
  <c r="U142" i="16" s="1"/>
  <c r="AD142" i="16" s="1"/>
  <c r="AO142" i="16" s="1"/>
  <c r="F136" i="16"/>
  <c r="U136" i="16" s="1"/>
  <c r="AD136" i="16" s="1"/>
  <c r="AO136" i="16" s="1"/>
  <c r="R152" i="16"/>
  <c r="R145" i="16"/>
  <c r="F133" i="16"/>
  <c r="U133" i="16" s="1"/>
  <c r="AD133" i="16" s="1"/>
  <c r="AO133" i="16" s="1"/>
  <c r="F50" i="3" s="1"/>
  <c r="AL148" i="16"/>
  <c r="AM148" i="16"/>
  <c r="AN148" i="16"/>
  <c r="AI135" i="16"/>
  <c r="AA135" i="16"/>
  <c r="AA139" i="16"/>
  <c r="AI139" i="16"/>
  <c r="AM144" i="16"/>
  <c r="AL144" i="16"/>
  <c r="AN144" i="16"/>
  <c r="D139" i="16"/>
  <c r="T139" i="16" s="1"/>
  <c r="AC139" i="16" s="1"/>
  <c r="AA143" i="16"/>
  <c r="AI143" i="16"/>
  <c r="D145" i="16"/>
  <c r="T145" i="16" s="1"/>
  <c r="AC145" i="16" s="1"/>
  <c r="D146" i="16"/>
  <c r="T146" i="16" s="1"/>
  <c r="AC146" i="16" s="1"/>
  <c r="F146" i="16"/>
  <c r="U146" i="16" s="1"/>
  <c r="AD146" i="16" s="1"/>
  <c r="AO146" i="16" s="1"/>
  <c r="F147" i="16"/>
  <c r="U147" i="16" s="1"/>
  <c r="AD147" i="16" s="1"/>
  <c r="AO147" i="16" s="1"/>
  <c r="R144" i="16"/>
  <c r="Q101" i="16"/>
  <c r="O101" i="16"/>
  <c r="M101" i="16"/>
  <c r="K101" i="16"/>
  <c r="I101" i="16"/>
  <c r="G101" i="16"/>
  <c r="E101" i="16"/>
  <c r="C101" i="16"/>
  <c r="D101" i="16" s="1"/>
  <c r="Q100" i="16"/>
  <c r="O100" i="16"/>
  <c r="M100" i="16"/>
  <c r="K100" i="16"/>
  <c r="I100" i="16"/>
  <c r="G100" i="16"/>
  <c r="E100" i="16"/>
  <c r="C100" i="16"/>
  <c r="D100" i="16" s="1"/>
  <c r="Q99" i="16"/>
  <c r="O99" i="16"/>
  <c r="M99" i="16"/>
  <c r="K99" i="16"/>
  <c r="I99" i="16"/>
  <c r="G99" i="16"/>
  <c r="E99" i="16"/>
  <c r="C99" i="16"/>
  <c r="D99" i="16" s="1"/>
  <c r="Q98" i="16"/>
  <c r="O98" i="16"/>
  <c r="M98" i="16"/>
  <c r="K98" i="16"/>
  <c r="I98" i="16"/>
  <c r="G98" i="16"/>
  <c r="E98" i="16"/>
  <c r="C98" i="16"/>
  <c r="D98" i="16" s="1"/>
  <c r="Q97" i="16"/>
  <c r="O97" i="16"/>
  <c r="M97" i="16"/>
  <c r="K97" i="16"/>
  <c r="I97" i="16"/>
  <c r="G97" i="16"/>
  <c r="E97" i="16"/>
  <c r="C97" i="16"/>
  <c r="D97" i="16" s="1"/>
  <c r="Q96" i="16"/>
  <c r="O96" i="16"/>
  <c r="M96" i="16"/>
  <c r="K96" i="16"/>
  <c r="I96" i="16"/>
  <c r="G96" i="16"/>
  <c r="E96" i="16"/>
  <c r="C96" i="16"/>
  <c r="D96" i="16" s="1"/>
  <c r="Q95" i="16"/>
  <c r="O95" i="16"/>
  <c r="M95" i="16"/>
  <c r="K95" i="16"/>
  <c r="I95" i="16"/>
  <c r="G95" i="16"/>
  <c r="E95" i="16"/>
  <c r="C95" i="16"/>
  <c r="D95" i="16" s="1"/>
  <c r="Q94" i="16"/>
  <c r="O94" i="16"/>
  <c r="M94" i="16"/>
  <c r="K94" i="16"/>
  <c r="I94" i="16"/>
  <c r="G94" i="16"/>
  <c r="E94" i="16"/>
  <c r="C94" i="16"/>
  <c r="D94" i="16" s="1"/>
  <c r="Q93" i="16"/>
  <c r="O93" i="16"/>
  <c r="M93" i="16"/>
  <c r="K93" i="16"/>
  <c r="I93" i="16"/>
  <c r="G93" i="16"/>
  <c r="E93" i="16"/>
  <c r="C93" i="16"/>
  <c r="D93" i="16" s="1"/>
  <c r="Q92" i="16"/>
  <c r="O92" i="16"/>
  <c r="M92" i="16"/>
  <c r="K92" i="16"/>
  <c r="I92" i="16"/>
  <c r="G92" i="16"/>
  <c r="E92" i="16"/>
  <c r="C92" i="16"/>
  <c r="D92" i="16" s="1"/>
  <c r="Q91" i="16"/>
  <c r="O91" i="16"/>
  <c r="M91" i="16"/>
  <c r="K91" i="16"/>
  <c r="I91" i="16"/>
  <c r="G91" i="16"/>
  <c r="E91" i="16"/>
  <c r="C91" i="16"/>
  <c r="D91" i="16" s="1"/>
  <c r="Q90" i="16"/>
  <c r="O90" i="16"/>
  <c r="M90" i="16"/>
  <c r="K90" i="16"/>
  <c r="I90" i="16"/>
  <c r="G90" i="16"/>
  <c r="E90" i="16"/>
  <c r="C90" i="16"/>
  <c r="D90" i="16" s="1"/>
  <c r="Q89" i="16"/>
  <c r="O89" i="16"/>
  <c r="M89" i="16"/>
  <c r="K89" i="16"/>
  <c r="I89" i="16"/>
  <c r="G89" i="16"/>
  <c r="E89" i="16"/>
  <c r="C89" i="16"/>
  <c r="D89" i="16" s="1"/>
  <c r="Q88" i="16"/>
  <c r="O88" i="16"/>
  <c r="M88" i="16"/>
  <c r="K88" i="16"/>
  <c r="I88" i="16"/>
  <c r="G88" i="16"/>
  <c r="E88" i="16"/>
  <c r="C88" i="16"/>
  <c r="D88" i="16" s="1"/>
  <c r="Q87" i="16"/>
  <c r="O87" i="16"/>
  <c r="M87" i="16"/>
  <c r="K87" i="16"/>
  <c r="I87" i="16"/>
  <c r="G87" i="16"/>
  <c r="E87" i="16"/>
  <c r="C87" i="16"/>
  <c r="D87" i="16" s="1"/>
  <c r="Q86" i="16"/>
  <c r="O86" i="16"/>
  <c r="M86" i="16"/>
  <c r="K86" i="16"/>
  <c r="I86" i="16"/>
  <c r="G86" i="16"/>
  <c r="E86" i="16"/>
  <c r="C86" i="16"/>
  <c r="D86" i="16" s="1"/>
  <c r="Q85" i="16"/>
  <c r="O85" i="16"/>
  <c r="M85" i="16"/>
  <c r="K85" i="16"/>
  <c r="I85" i="16"/>
  <c r="G85" i="16"/>
  <c r="E85" i="16"/>
  <c r="C85" i="16"/>
  <c r="D85" i="16" s="1"/>
  <c r="Q84" i="16"/>
  <c r="O84" i="16"/>
  <c r="M84" i="16"/>
  <c r="K84" i="16"/>
  <c r="I84" i="16"/>
  <c r="G84" i="16"/>
  <c r="E84" i="16"/>
  <c r="C84" i="16"/>
  <c r="D84" i="16" s="1"/>
  <c r="Q83" i="16"/>
  <c r="O83" i="16"/>
  <c r="M83" i="16"/>
  <c r="K83" i="16"/>
  <c r="I83" i="16"/>
  <c r="G83" i="16"/>
  <c r="E83" i="16"/>
  <c r="C83" i="16"/>
  <c r="D83" i="16" s="1"/>
  <c r="Q82" i="16"/>
  <c r="O82" i="16"/>
  <c r="M82" i="16"/>
  <c r="K82" i="16"/>
  <c r="I82" i="16"/>
  <c r="G82" i="16"/>
  <c r="E82" i="16"/>
  <c r="C82" i="16"/>
  <c r="D82" i="16" s="1"/>
  <c r="AA81" i="16"/>
  <c r="AJ81" i="16" s="1"/>
  <c r="Q81" i="16"/>
  <c r="O81" i="16"/>
  <c r="M81" i="16"/>
  <c r="K81" i="16"/>
  <c r="I81" i="16"/>
  <c r="G81" i="16"/>
  <c r="E81" i="16"/>
  <c r="Q31" i="16"/>
  <c r="Q32" i="16"/>
  <c r="Q33" i="16"/>
  <c r="Q34" i="16"/>
  <c r="Q35" i="16"/>
  <c r="Q36" i="16"/>
  <c r="Q37" i="16"/>
  <c r="Q38" i="16"/>
  <c r="Q39" i="16"/>
  <c r="Q40" i="16"/>
  <c r="Q41" i="16"/>
  <c r="Q42" i="16"/>
  <c r="Q43" i="16"/>
  <c r="Q44" i="16"/>
  <c r="Q45" i="16"/>
  <c r="Q46" i="16"/>
  <c r="Q47" i="16"/>
  <c r="Q48" i="16"/>
  <c r="Q49" i="16"/>
  <c r="Q50" i="16"/>
  <c r="Q30" i="16"/>
  <c r="O50" i="16"/>
  <c r="O49" i="16"/>
  <c r="O48" i="16"/>
  <c r="O47" i="16"/>
  <c r="O46" i="16"/>
  <c r="O45" i="16"/>
  <c r="O44" i="16"/>
  <c r="O43" i="16"/>
  <c r="O42" i="16"/>
  <c r="O41" i="16"/>
  <c r="O40" i="16"/>
  <c r="O39" i="16"/>
  <c r="O38" i="16"/>
  <c r="O37" i="16"/>
  <c r="O36" i="16"/>
  <c r="O35" i="16"/>
  <c r="O34" i="16"/>
  <c r="O33" i="16"/>
  <c r="O32" i="16"/>
  <c r="O31" i="16"/>
  <c r="O30" i="16"/>
  <c r="M50" i="16"/>
  <c r="M49" i="16"/>
  <c r="M48" i="16"/>
  <c r="M47" i="16"/>
  <c r="M46" i="16"/>
  <c r="M45" i="16"/>
  <c r="M44" i="16"/>
  <c r="M43" i="16"/>
  <c r="M42" i="16"/>
  <c r="M41" i="16"/>
  <c r="M40" i="16"/>
  <c r="M39" i="16"/>
  <c r="M38" i="16"/>
  <c r="M37" i="16"/>
  <c r="M36" i="16"/>
  <c r="M35" i="16"/>
  <c r="M34" i="16"/>
  <c r="M33" i="16"/>
  <c r="M32" i="16"/>
  <c r="M31" i="16"/>
  <c r="M30" i="16"/>
  <c r="K50" i="16"/>
  <c r="K49" i="16"/>
  <c r="K48" i="16"/>
  <c r="K47" i="16"/>
  <c r="K46" i="16"/>
  <c r="K45" i="16"/>
  <c r="K44" i="16"/>
  <c r="K43" i="16"/>
  <c r="K42" i="16"/>
  <c r="K41" i="16"/>
  <c r="K40" i="16"/>
  <c r="K39" i="16"/>
  <c r="K38" i="16"/>
  <c r="K37" i="16"/>
  <c r="K36" i="16"/>
  <c r="K35" i="16"/>
  <c r="K34" i="16"/>
  <c r="K33" i="16"/>
  <c r="K32" i="16"/>
  <c r="L32" i="16" s="1"/>
  <c r="X32" i="16" s="1"/>
  <c r="AG32" i="16" s="1"/>
  <c r="AR32" i="16" s="1"/>
  <c r="K31" i="16"/>
  <c r="K30" i="16"/>
  <c r="I50" i="16"/>
  <c r="I49" i="16"/>
  <c r="I48" i="16"/>
  <c r="I47" i="16"/>
  <c r="I46" i="16"/>
  <c r="I45" i="16"/>
  <c r="I44" i="16"/>
  <c r="I43" i="16"/>
  <c r="I42" i="16"/>
  <c r="I41" i="16"/>
  <c r="I40" i="16"/>
  <c r="I39" i="16"/>
  <c r="I38" i="16"/>
  <c r="I37" i="16"/>
  <c r="I36" i="16"/>
  <c r="I35" i="16"/>
  <c r="I34" i="16"/>
  <c r="I33" i="16"/>
  <c r="I32" i="16"/>
  <c r="I31" i="16"/>
  <c r="I30" i="16"/>
  <c r="G50" i="16"/>
  <c r="G49" i="16"/>
  <c r="G48" i="16"/>
  <c r="G47" i="16"/>
  <c r="G46" i="16"/>
  <c r="G45" i="16"/>
  <c r="G44" i="16"/>
  <c r="G43" i="16"/>
  <c r="G42" i="16"/>
  <c r="G41" i="16"/>
  <c r="G40" i="16"/>
  <c r="G39" i="16"/>
  <c r="G38" i="16"/>
  <c r="G37" i="16"/>
  <c r="G36" i="16"/>
  <c r="G35" i="16"/>
  <c r="G34" i="16"/>
  <c r="G33" i="16"/>
  <c r="G32" i="16"/>
  <c r="G31" i="16"/>
  <c r="G30" i="16"/>
  <c r="E31" i="16"/>
  <c r="E32" i="16"/>
  <c r="E33" i="16"/>
  <c r="E34" i="16"/>
  <c r="E35" i="16"/>
  <c r="E36" i="16"/>
  <c r="E37" i="16"/>
  <c r="E38" i="16"/>
  <c r="E39" i="16"/>
  <c r="E40" i="16"/>
  <c r="E41" i="16"/>
  <c r="E42" i="16"/>
  <c r="E43" i="16"/>
  <c r="E44" i="16"/>
  <c r="E45" i="16"/>
  <c r="E46" i="16"/>
  <c r="E47" i="16"/>
  <c r="E48" i="16"/>
  <c r="E49" i="16"/>
  <c r="E50" i="16"/>
  <c r="E30" i="16"/>
  <c r="C30" i="16"/>
  <c r="J66" i="14"/>
  <c r="H81" i="14" s="1"/>
  <c r="CL46" i="2" s="1"/>
  <c r="H28" i="14"/>
  <c r="G43" i="14" s="1"/>
  <c r="CK34" i="2" s="1"/>
  <c r="CY34" i="2" s="1"/>
  <c r="D22" i="14"/>
  <c r="D37" i="14" s="1"/>
  <c r="CH28" i="2" s="1"/>
  <c r="CV28" i="2" s="1"/>
  <c r="D25" i="14"/>
  <c r="D40" i="14" s="1"/>
  <c r="CH31" i="2" s="1"/>
  <c r="CV31" i="2" s="1"/>
  <c r="CF28" i="2"/>
  <c r="CT28" i="2" s="1"/>
  <c r="CF29" i="2"/>
  <c r="CT29" i="2" s="1"/>
  <c r="CF30" i="2"/>
  <c r="CT30" i="2" s="1"/>
  <c r="CF31" i="2"/>
  <c r="CT31" i="2" s="1"/>
  <c r="CF32" i="2"/>
  <c r="CT32" i="2" s="1"/>
  <c r="CF33" i="2"/>
  <c r="CT33" i="2" s="1"/>
  <c r="CF34" i="2"/>
  <c r="CT34" i="2" s="1"/>
  <c r="CF27" i="2"/>
  <c r="CT27" i="2" s="1"/>
  <c r="Q23" i="14"/>
  <c r="Q22" i="14"/>
  <c r="Q24" i="14"/>
  <c r="Q25" i="14"/>
  <c r="R25" i="14" s="1"/>
  <c r="Q26" i="14"/>
  <c r="R26" i="14" s="1"/>
  <c r="Q27" i="14"/>
  <c r="R27" i="14" s="1"/>
  <c r="Q28" i="14"/>
  <c r="R28" i="14" s="1"/>
  <c r="O28" i="14"/>
  <c r="O27" i="14"/>
  <c r="O26" i="14"/>
  <c r="O25" i="14"/>
  <c r="P25" i="14" s="1"/>
  <c r="K40" i="14" s="1"/>
  <c r="CO31" i="2" s="1"/>
  <c r="DC31" i="2" s="1"/>
  <c r="O24" i="14"/>
  <c r="O23" i="14"/>
  <c r="P23" i="14" s="1"/>
  <c r="K38" i="14" s="1"/>
  <c r="CO29" i="2" s="1"/>
  <c r="DC29" i="2" s="1"/>
  <c r="O22" i="14"/>
  <c r="P22" i="14" s="1"/>
  <c r="K37" i="14" s="1"/>
  <c r="CO28" i="2" s="1"/>
  <c r="DC28" i="2" s="1"/>
  <c r="O21" i="14"/>
  <c r="P21" i="14" s="1"/>
  <c r="K36" i="14" s="1"/>
  <c r="CO27" i="2" s="1"/>
  <c r="DC27" i="2" s="1"/>
  <c r="O20" i="14"/>
  <c r="M28" i="14"/>
  <c r="M27" i="14"/>
  <c r="M26" i="14"/>
  <c r="N26" i="14" s="1"/>
  <c r="J41" i="14" s="1"/>
  <c r="CN32" i="2" s="1"/>
  <c r="DB32" i="2" s="1"/>
  <c r="M25" i="14"/>
  <c r="M24" i="14"/>
  <c r="N24" i="14" s="1"/>
  <c r="J39" i="14" s="1"/>
  <c r="CN30" i="2" s="1"/>
  <c r="DB30" i="2" s="1"/>
  <c r="M23" i="14"/>
  <c r="N23" i="14" s="1"/>
  <c r="J38" i="14" s="1"/>
  <c r="CN29" i="2" s="1"/>
  <c r="DB29" i="2" s="1"/>
  <c r="M22" i="14"/>
  <c r="N22" i="14" s="1"/>
  <c r="J37" i="14" s="1"/>
  <c r="CN28" i="2" s="1"/>
  <c r="DB28" i="2" s="1"/>
  <c r="M21" i="14"/>
  <c r="N21" i="14" s="1"/>
  <c r="J36" i="14" s="1"/>
  <c r="CN27" i="2" s="1"/>
  <c r="DB27" i="2" s="1"/>
  <c r="M20" i="14"/>
  <c r="N27" i="14" s="1"/>
  <c r="J42" i="14" s="1"/>
  <c r="CN33" i="2" s="1"/>
  <c r="DB33" i="2" s="1"/>
  <c r="K28" i="14"/>
  <c r="L28" i="14" s="1"/>
  <c r="I43" i="14" s="1"/>
  <c r="CM34" i="2" s="1"/>
  <c r="DA34" i="2" s="1"/>
  <c r="K27" i="14"/>
  <c r="L27" i="14" s="1"/>
  <c r="I42" i="14" s="1"/>
  <c r="CM33" i="2" s="1"/>
  <c r="DA33" i="2" s="1"/>
  <c r="K26" i="14"/>
  <c r="K25" i="14"/>
  <c r="L25" i="14" s="1"/>
  <c r="I40" i="14" s="1"/>
  <c r="CM31" i="2" s="1"/>
  <c r="DA31" i="2" s="1"/>
  <c r="K24" i="14"/>
  <c r="L24" i="14" s="1"/>
  <c r="I39" i="14" s="1"/>
  <c r="CM30" i="2" s="1"/>
  <c r="DA30" i="2" s="1"/>
  <c r="K23" i="14"/>
  <c r="L23" i="14" s="1"/>
  <c r="I38" i="14" s="1"/>
  <c r="CM29" i="2" s="1"/>
  <c r="DA29" i="2" s="1"/>
  <c r="K22" i="14"/>
  <c r="L22" i="14" s="1"/>
  <c r="I37" i="14" s="1"/>
  <c r="CM28" i="2" s="1"/>
  <c r="DA28" i="2" s="1"/>
  <c r="K21" i="14"/>
  <c r="L21" i="14" s="1"/>
  <c r="I36" i="14" s="1"/>
  <c r="CM27" i="2" s="1"/>
  <c r="DA27" i="2" s="1"/>
  <c r="K20" i="14"/>
  <c r="I28" i="14"/>
  <c r="J28" i="14" s="1"/>
  <c r="H43" i="14" s="1"/>
  <c r="CL34" i="2" s="1"/>
  <c r="CZ34" i="2" s="1"/>
  <c r="I27" i="14"/>
  <c r="J27" i="14" s="1"/>
  <c r="H42" i="14" s="1"/>
  <c r="CL33" i="2" s="1"/>
  <c r="CZ33" i="2" s="1"/>
  <c r="I26" i="14"/>
  <c r="J26" i="14" s="1"/>
  <c r="H41" i="14" s="1"/>
  <c r="CL32" i="2" s="1"/>
  <c r="CZ32" i="2" s="1"/>
  <c r="I25" i="14"/>
  <c r="I24" i="14"/>
  <c r="I23" i="14"/>
  <c r="I22" i="14"/>
  <c r="I21" i="14"/>
  <c r="I20" i="14"/>
  <c r="J21" i="14" s="1"/>
  <c r="H36" i="14" s="1"/>
  <c r="CL27" i="2" s="1"/>
  <c r="CZ27" i="2" s="1"/>
  <c r="G28" i="14"/>
  <c r="G27" i="14"/>
  <c r="H27" i="14" s="1"/>
  <c r="G42" i="14" s="1"/>
  <c r="CK33" i="2" s="1"/>
  <c r="CY33" i="2" s="1"/>
  <c r="G26" i="14"/>
  <c r="H26" i="14" s="1"/>
  <c r="G41" i="14" s="1"/>
  <c r="CK32" i="2" s="1"/>
  <c r="CY32" i="2" s="1"/>
  <c r="G25" i="14"/>
  <c r="H25" i="14" s="1"/>
  <c r="G40" i="14" s="1"/>
  <c r="CK31" i="2" s="1"/>
  <c r="CY31" i="2" s="1"/>
  <c r="G24" i="14"/>
  <c r="H24" i="14" s="1"/>
  <c r="G39" i="14" s="1"/>
  <c r="CK30" i="2" s="1"/>
  <c r="CY30" i="2" s="1"/>
  <c r="G23" i="14"/>
  <c r="H23" i="14" s="1"/>
  <c r="G38" i="14" s="1"/>
  <c r="CK29" i="2" s="1"/>
  <c r="CY29" i="2" s="1"/>
  <c r="G22" i="14"/>
  <c r="H22" i="14" s="1"/>
  <c r="G37" i="14" s="1"/>
  <c r="CK28" i="2" s="1"/>
  <c r="CY28" i="2" s="1"/>
  <c r="G21" i="14"/>
  <c r="H21" i="14" s="1"/>
  <c r="G36" i="14" s="1"/>
  <c r="CK27" i="2" s="1"/>
  <c r="CY27" i="2" s="1"/>
  <c r="G20" i="14"/>
  <c r="E21" i="14"/>
  <c r="F21" i="14" s="1"/>
  <c r="E22" i="14"/>
  <c r="E23" i="14"/>
  <c r="E24" i="14"/>
  <c r="E25" i="14"/>
  <c r="E26" i="14"/>
  <c r="E27" i="14"/>
  <c r="F27" i="14" s="1"/>
  <c r="F42" i="14" s="1"/>
  <c r="CJ33" i="2" s="1"/>
  <c r="CX33" i="2" s="1"/>
  <c r="E28" i="14"/>
  <c r="F28" i="14" s="1"/>
  <c r="F43" i="14" s="1"/>
  <c r="CJ34" i="2" s="1"/>
  <c r="CX34" i="2" s="1"/>
  <c r="E20" i="14"/>
  <c r="C21" i="14"/>
  <c r="D21" i="14" s="1"/>
  <c r="C22" i="14"/>
  <c r="C23" i="14"/>
  <c r="D23" i="14" s="1"/>
  <c r="C24" i="14"/>
  <c r="C25" i="14"/>
  <c r="C26" i="14"/>
  <c r="D26" i="14" s="1"/>
  <c r="C27" i="14"/>
  <c r="C28" i="14"/>
  <c r="D28" i="14" s="1"/>
  <c r="C20" i="14"/>
  <c r="E65" i="14"/>
  <c r="P73" i="14"/>
  <c r="K88" i="14" s="1"/>
  <c r="CO53" i="2" s="1"/>
  <c r="P72" i="14"/>
  <c r="K87" i="14" s="1"/>
  <c r="CO52" i="2" s="1"/>
  <c r="P71" i="14"/>
  <c r="K86" i="14" s="1"/>
  <c r="CO51" i="2" s="1"/>
  <c r="P70" i="14"/>
  <c r="K85" i="14" s="1"/>
  <c r="CO50" i="2" s="1"/>
  <c r="P69" i="14"/>
  <c r="P68" i="14"/>
  <c r="P67" i="14"/>
  <c r="P66" i="14"/>
  <c r="K81" i="14" s="1"/>
  <c r="CO46" i="2" s="1"/>
  <c r="N73" i="14"/>
  <c r="J88" i="14" s="1"/>
  <c r="CN53" i="2" s="1"/>
  <c r="N72" i="14"/>
  <c r="J87" i="14" s="1"/>
  <c r="CN52" i="2" s="1"/>
  <c r="N71" i="14"/>
  <c r="J86" i="14" s="1"/>
  <c r="CN51" i="2" s="1"/>
  <c r="N70" i="14"/>
  <c r="J85" i="14" s="1"/>
  <c r="CN50" i="2" s="1"/>
  <c r="N69" i="14"/>
  <c r="J84" i="14" s="1"/>
  <c r="CN49" i="2" s="1"/>
  <c r="N68" i="14"/>
  <c r="N67" i="14"/>
  <c r="N66" i="14"/>
  <c r="J81" i="14" s="1"/>
  <c r="CN46" i="2" s="1"/>
  <c r="L73" i="14"/>
  <c r="I88" i="14" s="1"/>
  <c r="CM53" i="2" s="1"/>
  <c r="L72" i="14"/>
  <c r="I87" i="14" s="1"/>
  <c r="CM52" i="2" s="1"/>
  <c r="L71" i="14"/>
  <c r="I86" i="14" s="1"/>
  <c r="CM51" i="2" s="1"/>
  <c r="L70" i="14"/>
  <c r="I85" i="14" s="1"/>
  <c r="CM50" i="2" s="1"/>
  <c r="L69" i="14"/>
  <c r="I84" i="14" s="1"/>
  <c r="CM49" i="2" s="1"/>
  <c r="L68" i="14"/>
  <c r="I83" i="14" s="1"/>
  <c r="CM48" i="2" s="1"/>
  <c r="L67" i="14"/>
  <c r="L66" i="14"/>
  <c r="J73" i="14"/>
  <c r="H88" i="14" s="1"/>
  <c r="CL53" i="2" s="1"/>
  <c r="J72" i="14"/>
  <c r="H87" i="14" s="1"/>
  <c r="CL52" i="2" s="1"/>
  <c r="J71" i="14"/>
  <c r="H86" i="14" s="1"/>
  <c r="CL51" i="2" s="1"/>
  <c r="J70" i="14"/>
  <c r="H85" i="14" s="1"/>
  <c r="CL50" i="2" s="1"/>
  <c r="J69" i="14"/>
  <c r="H84" i="14" s="1"/>
  <c r="CL49" i="2" s="1"/>
  <c r="J68" i="14"/>
  <c r="H83" i="14" s="1"/>
  <c r="CL48" i="2" s="1"/>
  <c r="J67" i="14"/>
  <c r="H82" i="14" s="1"/>
  <c r="CL47" i="2" s="1"/>
  <c r="H73" i="14"/>
  <c r="G88" i="14" s="1"/>
  <c r="CK53" i="2" s="1"/>
  <c r="H72" i="14"/>
  <c r="G87" i="14" s="1"/>
  <c r="CK52" i="2" s="1"/>
  <c r="H71" i="14"/>
  <c r="G86" i="14" s="1"/>
  <c r="CK51" i="2" s="1"/>
  <c r="H70" i="14"/>
  <c r="G85" i="14" s="1"/>
  <c r="CK50" i="2" s="1"/>
  <c r="H69" i="14"/>
  <c r="G84" i="14" s="1"/>
  <c r="CK49" i="2" s="1"/>
  <c r="H68" i="14"/>
  <c r="G83" i="14" s="1"/>
  <c r="CK48" i="2" s="1"/>
  <c r="H67" i="14"/>
  <c r="H66" i="14"/>
  <c r="G81" i="14" s="1"/>
  <c r="CK46" i="2" s="1"/>
  <c r="F70" i="14"/>
  <c r="F85" i="14" s="1"/>
  <c r="CJ50" i="2" s="1"/>
  <c r="J82" i="14"/>
  <c r="CN47" i="2" s="1"/>
  <c r="I82" i="14"/>
  <c r="CM47" i="2" s="1"/>
  <c r="K84" i="14"/>
  <c r="CO49" i="2" s="1"/>
  <c r="K83" i="14"/>
  <c r="CO48" i="2" s="1"/>
  <c r="J83" i="14"/>
  <c r="CN48" i="2" s="1"/>
  <c r="K82" i="14"/>
  <c r="CO47" i="2" s="1"/>
  <c r="G82" i="14"/>
  <c r="CK47" i="2" s="1"/>
  <c r="I81" i="14"/>
  <c r="CM46" i="2" s="1"/>
  <c r="Q73" i="14"/>
  <c r="Q72" i="14"/>
  <c r="E72" i="14"/>
  <c r="F72" i="14" s="1"/>
  <c r="F87" i="14" s="1"/>
  <c r="CJ52" i="2" s="1"/>
  <c r="C71" i="14"/>
  <c r="C70" i="14"/>
  <c r="Q69" i="14"/>
  <c r="Q68" i="14"/>
  <c r="E68" i="14"/>
  <c r="C67" i="14"/>
  <c r="Q65" i="14"/>
  <c r="AD50" i="14"/>
  <c r="E73" i="14"/>
  <c r="F73" i="14" s="1"/>
  <c r="F88" i="14" s="1"/>
  <c r="CJ53" i="2" s="1"/>
  <c r="C73" i="14"/>
  <c r="C72" i="14"/>
  <c r="Q71" i="14"/>
  <c r="Q70" i="14"/>
  <c r="E70" i="14"/>
  <c r="E69" i="14"/>
  <c r="C69" i="14"/>
  <c r="D69" i="14" s="1"/>
  <c r="C68" i="14"/>
  <c r="Q67" i="14"/>
  <c r="E67" i="14"/>
  <c r="Q66" i="14"/>
  <c r="E66" i="14"/>
  <c r="F66" i="14" s="1"/>
  <c r="F81" i="14" s="1"/>
  <c r="CJ46" i="2" s="1"/>
  <c r="C66" i="14"/>
  <c r="C65" i="14"/>
  <c r="Q20" i="14"/>
  <c r="BE45" i="2"/>
  <c r="C38" i="14" l="1"/>
  <c r="CG29" i="2" s="1"/>
  <c r="CU29" i="2" s="1"/>
  <c r="D38" i="14"/>
  <c r="CH29" i="2" s="1"/>
  <c r="CV29" i="2" s="1"/>
  <c r="R67" i="14"/>
  <c r="N82" i="14" s="1"/>
  <c r="CR47" i="2" s="1"/>
  <c r="D73" i="14"/>
  <c r="F26" i="14"/>
  <c r="F41" i="14" s="1"/>
  <c r="CJ32" i="2" s="1"/>
  <c r="CX32" i="2" s="1"/>
  <c r="P26" i="14"/>
  <c r="K41" i="14" s="1"/>
  <c r="CO32" i="2" s="1"/>
  <c r="DC32" i="2" s="1"/>
  <c r="P82" i="16"/>
  <c r="P83" i="16"/>
  <c r="P84" i="16"/>
  <c r="P85" i="16"/>
  <c r="P86" i="16"/>
  <c r="P87" i="16"/>
  <c r="P88" i="16"/>
  <c r="P89" i="16"/>
  <c r="P90" i="16"/>
  <c r="P91" i="16"/>
  <c r="P92" i="16"/>
  <c r="P93" i="16"/>
  <c r="P94" i="16"/>
  <c r="P95" i="16"/>
  <c r="P96" i="16"/>
  <c r="P97" i="16"/>
  <c r="P98" i="16"/>
  <c r="P99" i="16"/>
  <c r="Z99" i="16" s="1"/>
  <c r="AI99" i="16" s="1"/>
  <c r="AT99" i="16" s="1"/>
  <c r="P100" i="16"/>
  <c r="P101" i="16"/>
  <c r="D68" i="14"/>
  <c r="D83" i="14" s="1"/>
  <c r="CH48" i="2" s="1"/>
  <c r="D24" i="14"/>
  <c r="F25" i="14"/>
  <c r="F40" i="14" s="1"/>
  <c r="CJ31" i="2" s="1"/>
  <c r="CX31" i="2" s="1"/>
  <c r="J22" i="14"/>
  <c r="H37" i="14" s="1"/>
  <c r="CL28" i="2" s="1"/>
  <c r="CZ28" i="2" s="1"/>
  <c r="N28" i="14"/>
  <c r="J43" i="14" s="1"/>
  <c r="CN34" i="2" s="1"/>
  <c r="DB34" i="2" s="1"/>
  <c r="P27" i="14"/>
  <c r="K42" i="14" s="1"/>
  <c r="CO33" i="2" s="1"/>
  <c r="DC33" i="2" s="1"/>
  <c r="R24" i="14"/>
  <c r="F24" i="14"/>
  <c r="F39" i="14" s="1"/>
  <c r="CJ30" i="2" s="1"/>
  <c r="CX30" i="2" s="1"/>
  <c r="J23" i="14"/>
  <c r="H38" i="14" s="1"/>
  <c r="CL29" i="2" s="1"/>
  <c r="CZ29" i="2" s="1"/>
  <c r="P28" i="14"/>
  <c r="K43" i="14" s="1"/>
  <c r="CO34" i="2" s="1"/>
  <c r="DC34" i="2" s="1"/>
  <c r="R22" i="14"/>
  <c r="L37" i="14" s="1"/>
  <c r="CP28" i="2" s="1"/>
  <c r="DD28" i="2" s="1"/>
  <c r="F48" i="16"/>
  <c r="U48" i="16" s="1"/>
  <c r="F40" i="16"/>
  <c r="U40" i="16" s="1"/>
  <c r="AD40" i="16" s="1"/>
  <c r="AO40" i="16" s="1"/>
  <c r="F32" i="16"/>
  <c r="U32" i="16" s="1"/>
  <c r="AD32" i="16" s="1"/>
  <c r="AO32" i="16" s="1"/>
  <c r="F23" i="14"/>
  <c r="F38" i="14" s="1"/>
  <c r="CJ29" i="2" s="1"/>
  <c r="CX29" i="2" s="1"/>
  <c r="J24" i="14"/>
  <c r="H39" i="14" s="1"/>
  <c r="CL30" i="2" s="1"/>
  <c r="CZ30" i="2" s="1"/>
  <c r="R23" i="14"/>
  <c r="F47" i="16"/>
  <c r="U47" i="16" s="1"/>
  <c r="P33" i="16"/>
  <c r="Z33" i="16" s="1"/>
  <c r="AI33" i="16" s="1"/>
  <c r="AT33" i="16" s="1"/>
  <c r="P49" i="16"/>
  <c r="Z49" i="16" s="1"/>
  <c r="F22" i="14"/>
  <c r="F37" i="14" s="1"/>
  <c r="CJ28" i="2" s="1"/>
  <c r="CX28" i="2" s="1"/>
  <c r="C37" i="14"/>
  <c r="CG28" i="2" s="1"/>
  <c r="CU28" i="2" s="1"/>
  <c r="H38" i="16"/>
  <c r="V38" i="16" s="1"/>
  <c r="AE38" i="16" s="1"/>
  <c r="AP38" i="16" s="1"/>
  <c r="R66" i="14"/>
  <c r="R71" i="14"/>
  <c r="N86" i="14" s="1"/>
  <c r="CR51" i="2" s="1"/>
  <c r="R68" i="14"/>
  <c r="D27" i="14"/>
  <c r="D42" i="14" s="1"/>
  <c r="CH33" i="2" s="1"/>
  <c r="CV33" i="2" s="1"/>
  <c r="L26" i="14"/>
  <c r="I41" i="14" s="1"/>
  <c r="CM32" i="2" s="1"/>
  <c r="DA32" i="2" s="1"/>
  <c r="P24" i="14"/>
  <c r="K39" i="14" s="1"/>
  <c r="CO30" i="2" s="1"/>
  <c r="DC30" i="2" s="1"/>
  <c r="E39" i="14"/>
  <c r="CI30" i="2" s="1"/>
  <c r="CW30" i="2" s="1"/>
  <c r="C39" i="14"/>
  <c r="CG30" i="2" s="1"/>
  <c r="CU30" i="2" s="1"/>
  <c r="D39" i="14"/>
  <c r="CH30" i="2" s="1"/>
  <c r="CV30" i="2" s="1"/>
  <c r="C43" i="14"/>
  <c r="CG34" i="2" s="1"/>
  <c r="CU34" i="2" s="1"/>
  <c r="E43" i="14"/>
  <c r="CI34" i="2" s="1"/>
  <c r="CW34" i="2" s="1"/>
  <c r="D43" i="14"/>
  <c r="CH34" i="2" s="1"/>
  <c r="CV34" i="2" s="1"/>
  <c r="E42" i="14"/>
  <c r="CI33" i="2" s="1"/>
  <c r="CW33" i="2" s="1"/>
  <c r="C41" i="14"/>
  <c r="CG32" i="2" s="1"/>
  <c r="CU32" i="2" s="1"/>
  <c r="D41" i="14"/>
  <c r="CH32" i="2" s="1"/>
  <c r="CV32" i="2" s="1"/>
  <c r="E41" i="14"/>
  <c r="CI32" i="2" s="1"/>
  <c r="CW32" i="2" s="1"/>
  <c r="L41" i="14"/>
  <c r="CP32" i="2" s="1"/>
  <c r="DD32" i="2" s="1"/>
  <c r="M41" i="14"/>
  <c r="CQ32" i="2" s="1"/>
  <c r="DE32" i="2" s="1"/>
  <c r="N41" i="14"/>
  <c r="CR32" i="2" s="1"/>
  <c r="DF32" i="2" s="1"/>
  <c r="E37" i="14"/>
  <c r="CI28" i="2" s="1"/>
  <c r="CW28" i="2" s="1"/>
  <c r="J25" i="14"/>
  <c r="H40" i="14" s="1"/>
  <c r="CL31" i="2" s="1"/>
  <c r="CZ31" i="2" s="1"/>
  <c r="N25" i="14"/>
  <c r="J40" i="14" s="1"/>
  <c r="CN31" i="2" s="1"/>
  <c r="DB31" i="2" s="1"/>
  <c r="AW147" i="16"/>
  <c r="AU147" i="16"/>
  <c r="AV147" i="16"/>
  <c r="AT147" i="16"/>
  <c r="AU151" i="16"/>
  <c r="AW151" i="16"/>
  <c r="AV151" i="16"/>
  <c r="AT151" i="16"/>
  <c r="AN136" i="16"/>
  <c r="AM136" i="16"/>
  <c r="AL136" i="16"/>
  <c r="AN138" i="16"/>
  <c r="AM138" i="16"/>
  <c r="AL138" i="16"/>
  <c r="F67" i="14"/>
  <c r="F82" i="14" s="1"/>
  <c r="CJ47" i="2" s="1"/>
  <c r="D72" i="14"/>
  <c r="R69" i="14"/>
  <c r="E38" i="14"/>
  <c r="CI29" i="2" s="1"/>
  <c r="CW29" i="2" s="1"/>
  <c r="AV81" i="16"/>
  <c r="AU81" i="16"/>
  <c r="AW81" i="16"/>
  <c r="R82" i="16"/>
  <c r="R83" i="16"/>
  <c r="AA83" i="16" s="1"/>
  <c r="AJ83" i="16" s="1"/>
  <c r="R84" i="16"/>
  <c r="R85" i="16"/>
  <c r="R86" i="16"/>
  <c r="AA86" i="16" s="1"/>
  <c r="AJ86" i="16" s="1"/>
  <c r="R87" i="16"/>
  <c r="AA87" i="16" s="1"/>
  <c r="AJ87" i="16" s="1"/>
  <c r="R88" i="16"/>
  <c r="AA88" i="16" s="1"/>
  <c r="AJ88" i="16" s="1"/>
  <c r="R89" i="16"/>
  <c r="R90" i="16"/>
  <c r="AA90" i="16" s="1"/>
  <c r="AJ90" i="16" s="1"/>
  <c r="R91" i="16"/>
  <c r="AA91" i="16" s="1"/>
  <c r="AJ91" i="16" s="1"/>
  <c r="R92" i="16"/>
  <c r="R93" i="16"/>
  <c r="R94" i="16"/>
  <c r="AA94" i="16" s="1"/>
  <c r="AJ94" i="16" s="1"/>
  <c r="R95" i="16"/>
  <c r="AA95" i="16" s="1"/>
  <c r="AJ95" i="16" s="1"/>
  <c r="R96" i="16"/>
  <c r="AA96" i="16" s="1"/>
  <c r="AJ96" i="16" s="1"/>
  <c r="R97" i="16"/>
  <c r="R98" i="16"/>
  <c r="AA98" i="16" s="1"/>
  <c r="AJ98" i="16" s="1"/>
  <c r="R99" i="16"/>
  <c r="AA99" i="16" s="1"/>
  <c r="AJ99" i="16" s="1"/>
  <c r="R100" i="16"/>
  <c r="R101" i="16"/>
  <c r="AN146" i="16"/>
  <c r="AL146" i="16"/>
  <c r="AM146" i="16"/>
  <c r="AW139" i="16"/>
  <c r="AU139" i="16"/>
  <c r="AV139" i="16"/>
  <c r="AT139" i="16"/>
  <c r="AI145" i="16"/>
  <c r="AA145" i="16"/>
  <c r="AW133" i="16"/>
  <c r="N50" i="3" s="1"/>
  <c r="AU133" i="16"/>
  <c r="L50" i="3" s="1"/>
  <c r="AV133" i="16"/>
  <c r="M50" i="3" s="1"/>
  <c r="AT133" i="16"/>
  <c r="K50" i="3" s="1"/>
  <c r="AM137" i="16"/>
  <c r="AL137" i="16"/>
  <c r="AN137" i="16"/>
  <c r="AL152" i="16"/>
  <c r="AN152" i="16"/>
  <c r="AM152" i="16"/>
  <c r="F82" i="16"/>
  <c r="F84" i="16"/>
  <c r="F87" i="16"/>
  <c r="U87" i="16" s="1"/>
  <c r="AD87" i="16" s="1"/>
  <c r="AO87" i="16" s="1"/>
  <c r="F90" i="16"/>
  <c r="F94" i="16"/>
  <c r="F97" i="16"/>
  <c r="U97" i="16" s="1"/>
  <c r="AD97" i="16" s="1"/>
  <c r="AO97" i="16" s="1"/>
  <c r="F99" i="16"/>
  <c r="U99" i="16" s="1"/>
  <c r="AD99" i="16" s="1"/>
  <c r="AO99" i="16" s="1"/>
  <c r="AU143" i="16"/>
  <c r="AV143" i="16"/>
  <c r="AW143" i="16"/>
  <c r="AT143" i="16"/>
  <c r="AI149" i="16"/>
  <c r="AA149" i="16"/>
  <c r="H84" i="16"/>
  <c r="H86" i="16"/>
  <c r="V86" i="16" s="1"/>
  <c r="AE86" i="16" s="1"/>
  <c r="AP86" i="16" s="1"/>
  <c r="H89" i="16"/>
  <c r="V89" i="16" s="1"/>
  <c r="AE89" i="16" s="1"/>
  <c r="AP89" i="16" s="1"/>
  <c r="H90" i="16"/>
  <c r="H93" i="16"/>
  <c r="H95" i="16"/>
  <c r="V95" i="16" s="1"/>
  <c r="AE95" i="16" s="1"/>
  <c r="AP95" i="16" s="1"/>
  <c r="H98" i="16"/>
  <c r="H100" i="16"/>
  <c r="AV138" i="16"/>
  <c r="AW138" i="16"/>
  <c r="AU138" i="16"/>
  <c r="AT138" i="16"/>
  <c r="AI140" i="16"/>
  <c r="AA140" i="16"/>
  <c r="D70" i="14"/>
  <c r="F69" i="14"/>
  <c r="F84" i="14" s="1"/>
  <c r="CJ49" i="2" s="1"/>
  <c r="R70" i="14"/>
  <c r="M85" i="14" s="1"/>
  <c r="CQ50" i="2" s="1"/>
  <c r="R72" i="14"/>
  <c r="L87" i="14" s="1"/>
  <c r="CP52" i="2" s="1"/>
  <c r="E40" i="14"/>
  <c r="CI31" i="2" s="1"/>
  <c r="CW31" i="2" s="1"/>
  <c r="J82" i="16"/>
  <c r="J83" i="16"/>
  <c r="W83" i="16" s="1"/>
  <c r="AF83" i="16" s="1"/>
  <c r="AQ83" i="16" s="1"/>
  <c r="J84" i="16"/>
  <c r="W84" i="16" s="1"/>
  <c r="AF84" i="16" s="1"/>
  <c r="AQ84" i="16" s="1"/>
  <c r="J85" i="16"/>
  <c r="J86" i="16"/>
  <c r="J87" i="16"/>
  <c r="W87" i="16" s="1"/>
  <c r="AF87" i="16" s="1"/>
  <c r="AQ87" i="16" s="1"/>
  <c r="J88" i="16"/>
  <c r="W88" i="16" s="1"/>
  <c r="AF88" i="16" s="1"/>
  <c r="AQ88" i="16" s="1"/>
  <c r="J89" i="16"/>
  <c r="W89" i="16" s="1"/>
  <c r="AF89" i="16" s="1"/>
  <c r="AQ89" i="16" s="1"/>
  <c r="J90" i="16"/>
  <c r="J91" i="16"/>
  <c r="W91" i="16" s="1"/>
  <c r="AF91" i="16" s="1"/>
  <c r="AQ91" i="16" s="1"/>
  <c r="J92" i="16"/>
  <c r="W92" i="16" s="1"/>
  <c r="AF92" i="16" s="1"/>
  <c r="AQ92" i="16" s="1"/>
  <c r="J93" i="16"/>
  <c r="J94" i="16"/>
  <c r="J95" i="16"/>
  <c r="W95" i="16" s="1"/>
  <c r="AF95" i="16" s="1"/>
  <c r="AQ95" i="16" s="1"/>
  <c r="J96" i="16"/>
  <c r="J97" i="16"/>
  <c r="W97" i="16" s="1"/>
  <c r="AF97" i="16" s="1"/>
  <c r="AQ97" i="16" s="1"/>
  <c r="J98" i="16"/>
  <c r="J99" i="16"/>
  <c r="W99" i="16" s="1"/>
  <c r="AF99" i="16" s="1"/>
  <c r="AQ99" i="16" s="1"/>
  <c r="J100" i="16"/>
  <c r="W100" i="16" s="1"/>
  <c r="AF100" i="16" s="1"/>
  <c r="AQ100" i="16" s="1"/>
  <c r="J101" i="16"/>
  <c r="AL139" i="16"/>
  <c r="AM139" i="16"/>
  <c r="AN139" i="16"/>
  <c r="AM150" i="16"/>
  <c r="AL150" i="16"/>
  <c r="AN150" i="16"/>
  <c r="AA142" i="16"/>
  <c r="AI142" i="16"/>
  <c r="AV148" i="16"/>
  <c r="AU148" i="16"/>
  <c r="AW148" i="16"/>
  <c r="AT148" i="16"/>
  <c r="AI141" i="16"/>
  <c r="AA141" i="16"/>
  <c r="AV150" i="16"/>
  <c r="AT150" i="16"/>
  <c r="AU150" i="16"/>
  <c r="AW150" i="16"/>
  <c r="AN145" i="16"/>
  <c r="AM145" i="16"/>
  <c r="AL145" i="16"/>
  <c r="AI152" i="16"/>
  <c r="AA152" i="16"/>
  <c r="AA146" i="16"/>
  <c r="AI146" i="16"/>
  <c r="F85" i="16"/>
  <c r="F88" i="16"/>
  <c r="F91" i="16"/>
  <c r="U91" i="16" s="1"/>
  <c r="AD91" i="16" s="1"/>
  <c r="AO91" i="16" s="1"/>
  <c r="F95" i="16"/>
  <c r="F98" i="16"/>
  <c r="F101" i="16"/>
  <c r="U101" i="16" s="1"/>
  <c r="AD101" i="16" s="1"/>
  <c r="AO101" i="16" s="1"/>
  <c r="AN147" i="16"/>
  <c r="AM147" i="16"/>
  <c r="AL147" i="16"/>
  <c r="H83" i="16"/>
  <c r="V83" i="16" s="1"/>
  <c r="AE83" i="16" s="1"/>
  <c r="AP83" i="16" s="1"/>
  <c r="H87" i="16"/>
  <c r="V87" i="16" s="1"/>
  <c r="AE87" i="16" s="1"/>
  <c r="AP87" i="16" s="1"/>
  <c r="H91" i="16"/>
  <c r="H94" i="16"/>
  <c r="V94" i="16" s="1"/>
  <c r="AE94" i="16" s="1"/>
  <c r="AP94" i="16" s="1"/>
  <c r="H96" i="16"/>
  <c r="V96" i="16" s="1"/>
  <c r="AE96" i="16" s="1"/>
  <c r="AP96" i="16" s="1"/>
  <c r="H99" i="16"/>
  <c r="AU135" i="16"/>
  <c r="AV135" i="16"/>
  <c r="AW135" i="16"/>
  <c r="AT135" i="16"/>
  <c r="C40" i="14"/>
  <c r="CG31" i="2" s="1"/>
  <c r="CU31" i="2" s="1"/>
  <c r="L38" i="16"/>
  <c r="X38" i="16" s="1"/>
  <c r="AG38" i="16" s="1"/>
  <c r="AR38" i="16" s="1"/>
  <c r="L82" i="16"/>
  <c r="X82" i="16" s="1"/>
  <c r="AG82" i="16" s="1"/>
  <c r="AR82" i="16" s="1"/>
  <c r="I27" i="3" s="1"/>
  <c r="L83" i="16"/>
  <c r="X83" i="16" s="1"/>
  <c r="AG83" i="16" s="1"/>
  <c r="AR83" i="16" s="1"/>
  <c r="L84" i="16"/>
  <c r="L85" i="16"/>
  <c r="X85" i="16" s="1"/>
  <c r="AG85" i="16" s="1"/>
  <c r="AR85" i="16" s="1"/>
  <c r="L86" i="16"/>
  <c r="X86" i="16" s="1"/>
  <c r="AG86" i="16" s="1"/>
  <c r="AR86" i="16" s="1"/>
  <c r="L87" i="16"/>
  <c r="X87" i="16" s="1"/>
  <c r="AG87" i="16" s="1"/>
  <c r="AR87" i="16" s="1"/>
  <c r="L88" i="16"/>
  <c r="L89" i="16"/>
  <c r="L90" i="16"/>
  <c r="X90" i="16" s="1"/>
  <c r="AG90" i="16" s="1"/>
  <c r="AR90" i="16" s="1"/>
  <c r="L91" i="16"/>
  <c r="L92" i="16"/>
  <c r="L93" i="16"/>
  <c r="L94" i="16"/>
  <c r="X94" i="16" s="1"/>
  <c r="AG94" i="16" s="1"/>
  <c r="AR94" i="16" s="1"/>
  <c r="L95" i="16"/>
  <c r="X95" i="16" s="1"/>
  <c r="AG95" i="16" s="1"/>
  <c r="AR95" i="16" s="1"/>
  <c r="L96" i="16"/>
  <c r="L97" i="16"/>
  <c r="L98" i="16"/>
  <c r="X98" i="16" s="1"/>
  <c r="AG98" i="16" s="1"/>
  <c r="AR98" i="16" s="1"/>
  <c r="L99" i="16"/>
  <c r="L100" i="16"/>
  <c r="L101" i="16"/>
  <c r="AA144" i="16"/>
  <c r="AI144" i="16"/>
  <c r="AL149" i="16"/>
  <c r="AN149" i="16"/>
  <c r="AM149" i="16"/>
  <c r="AV134" i="16"/>
  <c r="AW134" i="16"/>
  <c r="AU134" i="16"/>
  <c r="AT134" i="16"/>
  <c r="AN135" i="16"/>
  <c r="AM135" i="16"/>
  <c r="AL135" i="16"/>
  <c r="N38" i="16"/>
  <c r="Y38" i="16" s="1"/>
  <c r="AH38" i="16" s="1"/>
  <c r="AS38" i="16" s="1"/>
  <c r="F83" i="16"/>
  <c r="U83" i="16" s="1"/>
  <c r="AD83" i="16" s="1"/>
  <c r="AO83" i="16" s="1"/>
  <c r="F86" i="16"/>
  <c r="F89" i="16"/>
  <c r="U89" i="16" s="1"/>
  <c r="AD89" i="16" s="1"/>
  <c r="AO89" i="16" s="1"/>
  <c r="F92" i="16"/>
  <c r="U92" i="16" s="1"/>
  <c r="AD92" i="16" s="1"/>
  <c r="AO92" i="16" s="1"/>
  <c r="F93" i="16"/>
  <c r="U93" i="16" s="1"/>
  <c r="AD93" i="16" s="1"/>
  <c r="AO93" i="16" s="1"/>
  <c r="F96" i="16"/>
  <c r="F100" i="16"/>
  <c r="U100" i="16" s="1"/>
  <c r="AD100" i="16" s="1"/>
  <c r="AO100" i="16" s="1"/>
  <c r="AM140" i="16"/>
  <c r="AL140" i="16"/>
  <c r="AN140" i="16"/>
  <c r="H82" i="16"/>
  <c r="V82" i="16" s="1"/>
  <c r="AE82" i="16" s="1"/>
  <c r="AP82" i="16" s="1"/>
  <c r="G27" i="3" s="1"/>
  <c r="H85" i="16"/>
  <c r="V85" i="16" s="1"/>
  <c r="AE85" i="16" s="1"/>
  <c r="AP85" i="16" s="1"/>
  <c r="H88" i="16"/>
  <c r="V88" i="16" s="1"/>
  <c r="AE88" i="16" s="1"/>
  <c r="AP88" i="16" s="1"/>
  <c r="H92" i="16"/>
  <c r="H97" i="16"/>
  <c r="H101" i="16"/>
  <c r="V101" i="16" s="1"/>
  <c r="AE101" i="16" s="1"/>
  <c r="AP101" i="16" s="1"/>
  <c r="AU137" i="16"/>
  <c r="AW137" i="16"/>
  <c r="AV137" i="16"/>
  <c r="AT137" i="16"/>
  <c r="F68" i="14"/>
  <c r="F83" i="14" s="1"/>
  <c r="CJ48" i="2" s="1"/>
  <c r="P45" i="16"/>
  <c r="Z45" i="16" s="1"/>
  <c r="AI45" i="16" s="1"/>
  <c r="AT45" i="16" s="1"/>
  <c r="N82" i="16"/>
  <c r="Y82" i="16" s="1"/>
  <c r="AH82" i="16" s="1"/>
  <c r="AS82" i="16" s="1"/>
  <c r="J27" i="3" s="1"/>
  <c r="N83" i="16"/>
  <c r="Y83" i="16" s="1"/>
  <c r="AH83" i="16" s="1"/>
  <c r="AS83" i="16" s="1"/>
  <c r="N84" i="16"/>
  <c r="Y84" i="16" s="1"/>
  <c r="AH84" i="16" s="1"/>
  <c r="AS84" i="16" s="1"/>
  <c r="N85" i="16"/>
  <c r="N86" i="16"/>
  <c r="Y86" i="16" s="1"/>
  <c r="AH86" i="16" s="1"/>
  <c r="AS86" i="16" s="1"/>
  <c r="N87" i="16"/>
  <c r="Y87" i="16" s="1"/>
  <c r="AH87" i="16" s="1"/>
  <c r="AS87" i="16" s="1"/>
  <c r="N88" i="16"/>
  <c r="Y88" i="16" s="1"/>
  <c r="AH88" i="16" s="1"/>
  <c r="AS88" i="16" s="1"/>
  <c r="N89" i="16"/>
  <c r="N90" i="16"/>
  <c r="Y90" i="16" s="1"/>
  <c r="AH90" i="16" s="1"/>
  <c r="AS90" i="16" s="1"/>
  <c r="N91" i="16"/>
  <c r="Y91" i="16" s="1"/>
  <c r="AH91" i="16" s="1"/>
  <c r="AS91" i="16" s="1"/>
  <c r="N92" i="16"/>
  <c r="Y92" i="16" s="1"/>
  <c r="AH92" i="16" s="1"/>
  <c r="AS92" i="16" s="1"/>
  <c r="N93" i="16"/>
  <c r="N94" i="16"/>
  <c r="Y94" i="16" s="1"/>
  <c r="AH94" i="16" s="1"/>
  <c r="AS94" i="16" s="1"/>
  <c r="N95" i="16"/>
  <c r="Y95" i="16" s="1"/>
  <c r="AH95" i="16" s="1"/>
  <c r="AS95" i="16" s="1"/>
  <c r="N96" i="16"/>
  <c r="Y96" i="16" s="1"/>
  <c r="AH96" i="16" s="1"/>
  <c r="AS96" i="16" s="1"/>
  <c r="N97" i="16"/>
  <c r="N98" i="16"/>
  <c r="Y98" i="16" s="1"/>
  <c r="AH98" i="16" s="1"/>
  <c r="AS98" i="16" s="1"/>
  <c r="N99" i="16"/>
  <c r="Y99" i="16" s="1"/>
  <c r="AH99" i="16" s="1"/>
  <c r="AS99" i="16" s="1"/>
  <c r="N100" i="16"/>
  <c r="N101" i="16"/>
  <c r="AM143" i="16"/>
  <c r="AL143" i="16"/>
  <c r="AN143" i="16"/>
  <c r="AW136" i="16"/>
  <c r="AU136" i="16"/>
  <c r="AV136" i="16"/>
  <c r="AT136" i="16"/>
  <c r="F44" i="16"/>
  <c r="U44" i="16" s="1"/>
  <c r="AD44" i="16" s="1"/>
  <c r="AO44" i="16" s="1"/>
  <c r="N37" i="16"/>
  <c r="Y37" i="16" s="1"/>
  <c r="AH37" i="16" s="1"/>
  <c r="AS37" i="16" s="1"/>
  <c r="N45" i="16"/>
  <c r="Y45" i="16" s="1"/>
  <c r="AH45" i="16" s="1"/>
  <c r="AS45" i="16" s="1"/>
  <c r="N35" i="16"/>
  <c r="Y35" i="16" s="1"/>
  <c r="AH35" i="16" s="1"/>
  <c r="AS35" i="16" s="1"/>
  <c r="P37" i="16"/>
  <c r="Z37" i="16" s="1"/>
  <c r="AI37" i="16" s="1"/>
  <c r="AT37" i="16" s="1"/>
  <c r="L40" i="16"/>
  <c r="X40" i="16" s="1"/>
  <c r="AG40" i="16" s="1"/>
  <c r="AR40" i="16" s="1"/>
  <c r="N33" i="16"/>
  <c r="Y33" i="16" s="1"/>
  <c r="AH33" i="16" s="1"/>
  <c r="AS33" i="16" s="1"/>
  <c r="F45" i="16"/>
  <c r="U45" i="16" s="1"/>
  <c r="AD45" i="16" s="1"/>
  <c r="AO45" i="16" s="1"/>
  <c r="F37" i="16"/>
  <c r="U37" i="16" s="1"/>
  <c r="AD37" i="16" s="1"/>
  <c r="AO37" i="16" s="1"/>
  <c r="L45" i="16"/>
  <c r="X45" i="16" s="1"/>
  <c r="AG45" i="16" s="1"/>
  <c r="AR45" i="16" s="1"/>
  <c r="N32" i="16"/>
  <c r="Y32" i="16" s="1"/>
  <c r="AH32" i="16" s="1"/>
  <c r="AS32" i="16" s="1"/>
  <c r="N40" i="16"/>
  <c r="Y40" i="16" s="1"/>
  <c r="AH40" i="16" s="1"/>
  <c r="AS40" i="16" s="1"/>
  <c r="N48" i="16"/>
  <c r="Y48" i="16" s="1"/>
  <c r="P35" i="16"/>
  <c r="Z35" i="16" s="1"/>
  <c r="AI35" i="16" s="1"/>
  <c r="AT35" i="16" s="1"/>
  <c r="P43" i="16"/>
  <c r="Z43" i="16" s="1"/>
  <c r="AI43" i="16" s="1"/>
  <c r="AT43" i="16" s="1"/>
  <c r="N41" i="16"/>
  <c r="Y41" i="16" s="1"/>
  <c r="AH41" i="16" s="1"/>
  <c r="AS41" i="16" s="1"/>
  <c r="P32" i="16"/>
  <c r="Z32" i="16" s="1"/>
  <c r="AI32" i="16" s="1"/>
  <c r="AT32" i="16" s="1"/>
  <c r="P40" i="16"/>
  <c r="Z40" i="16" s="1"/>
  <c r="AI40" i="16" s="1"/>
  <c r="AT40" i="16" s="1"/>
  <c r="P48" i="16"/>
  <c r="Z48" i="16" s="1"/>
  <c r="P31" i="16"/>
  <c r="Z31" i="16" s="1"/>
  <c r="AI31" i="16" s="1"/>
  <c r="AT31" i="16" s="1"/>
  <c r="P39" i="16"/>
  <c r="Z39" i="16" s="1"/>
  <c r="AI39" i="16" s="1"/>
  <c r="AT39" i="16" s="1"/>
  <c r="P47" i="16"/>
  <c r="Z47" i="16" s="1"/>
  <c r="P38" i="16"/>
  <c r="Z38" i="16" s="1"/>
  <c r="AI38" i="16" s="1"/>
  <c r="AT38" i="16" s="1"/>
  <c r="F35" i="16"/>
  <c r="U35" i="16" s="1"/>
  <c r="AD35" i="16" s="1"/>
  <c r="AO35" i="16" s="1"/>
  <c r="N42" i="16"/>
  <c r="Y42" i="16" s="1"/>
  <c r="AH42" i="16" s="1"/>
  <c r="AS42" i="16" s="1"/>
  <c r="L46" i="16"/>
  <c r="X46" i="16" s="1"/>
  <c r="L37" i="16"/>
  <c r="X37" i="16" s="1"/>
  <c r="AG37" i="16" s="1"/>
  <c r="AR37" i="16" s="1"/>
  <c r="F39" i="16"/>
  <c r="U39" i="16" s="1"/>
  <c r="AD39" i="16" s="1"/>
  <c r="AO39" i="16" s="1"/>
  <c r="L43" i="16"/>
  <c r="X43" i="16" s="1"/>
  <c r="AG43" i="16" s="1"/>
  <c r="AR43" i="16" s="1"/>
  <c r="P41" i="16"/>
  <c r="Z41" i="16" s="1"/>
  <c r="AI41" i="16" s="1"/>
  <c r="AT41" i="16" s="1"/>
  <c r="L42" i="16"/>
  <c r="X42" i="16" s="1"/>
  <c r="AG42" i="16" s="1"/>
  <c r="AR42" i="16" s="1"/>
  <c r="H47" i="16"/>
  <c r="V47" i="16" s="1"/>
  <c r="J33" i="16"/>
  <c r="W33" i="16" s="1"/>
  <c r="AF33" i="16" s="1"/>
  <c r="AQ33" i="16" s="1"/>
  <c r="J41" i="16"/>
  <c r="W41" i="16" s="1"/>
  <c r="AF41" i="16" s="1"/>
  <c r="AQ41" i="16" s="1"/>
  <c r="J49" i="16"/>
  <c r="W49" i="16" s="1"/>
  <c r="L36" i="16"/>
  <c r="X36" i="16" s="1"/>
  <c r="AG36" i="16" s="1"/>
  <c r="AR36" i="16" s="1"/>
  <c r="L44" i="16"/>
  <c r="X44" i="16" s="1"/>
  <c r="AG44" i="16" s="1"/>
  <c r="AR44" i="16" s="1"/>
  <c r="N31" i="16"/>
  <c r="Y31" i="16" s="1"/>
  <c r="AH31" i="16" s="1"/>
  <c r="AS31" i="16" s="1"/>
  <c r="N39" i="16"/>
  <c r="Y39" i="16" s="1"/>
  <c r="AH39" i="16" s="1"/>
  <c r="AS39" i="16" s="1"/>
  <c r="N47" i="16"/>
  <c r="Y47" i="16" s="1"/>
  <c r="P34" i="16"/>
  <c r="Z34" i="16" s="1"/>
  <c r="AI34" i="16" s="1"/>
  <c r="AT34" i="16" s="1"/>
  <c r="P42" i="16"/>
  <c r="Z42" i="16" s="1"/>
  <c r="AI42" i="16" s="1"/>
  <c r="AT42" i="16" s="1"/>
  <c r="P50" i="16"/>
  <c r="Z50" i="16" s="1"/>
  <c r="N49" i="16"/>
  <c r="Y49" i="16" s="1"/>
  <c r="F31" i="16"/>
  <c r="U31" i="16" s="1"/>
  <c r="AD31" i="16" s="1"/>
  <c r="AO31" i="16" s="1"/>
  <c r="L35" i="16"/>
  <c r="X35" i="16" s="1"/>
  <c r="AG35" i="16" s="1"/>
  <c r="AR35" i="16" s="1"/>
  <c r="N46" i="16"/>
  <c r="Y46" i="16" s="1"/>
  <c r="U82" i="16"/>
  <c r="AD82" i="16" s="1"/>
  <c r="AO82" i="16" s="1"/>
  <c r="F27" i="3" s="1"/>
  <c r="U84" i="16"/>
  <c r="AD84" i="16" s="1"/>
  <c r="AO84" i="16" s="1"/>
  <c r="L50" i="16"/>
  <c r="X50" i="16" s="1"/>
  <c r="N43" i="16"/>
  <c r="Y43" i="16" s="1"/>
  <c r="AH43" i="16" s="1"/>
  <c r="AS43" i="16" s="1"/>
  <c r="F49" i="16"/>
  <c r="U49" i="16" s="1"/>
  <c r="F41" i="16"/>
  <c r="U41" i="16" s="1"/>
  <c r="AD41" i="16" s="1"/>
  <c r="AO41" i="16" s="1"/>
  <c r="F33" i="16"/>
  <c r="U33" i="16" s="1"/>
  <c r="AD33" i="16" s="1"/>
  <c r="AO33" i="16" s="1"/>
  <c r="L33" i="16"/>
  <c r="X33" i="16" s="1"/>
  <c r="AG33" i="16" s="1"/>
  <c r="AR33" i="16" s="1"/>
  <c r="L41" i="16"/>
  <c r="X41" i="16" s="1"/>
  <c r="AG41" i="16" s="1"/>
  <c r="AR41" i="16" s="1"/>
  <c r="L49" i="16"/>
  <c r="X49" i="16" s="1"/>
  <c r="N36" i="16"/>
  <c r="Y36" i="16" s="1"/>
  <c r="AH36" i="16" s="1"/>
  <c r="AS36" i="16" s="1"/>
  <c r="N44" i="16"/>
  <c r="Y44" i="16" s="1"/>
  <c r="AH44" i="16" s="1"/>
  <c r="AS44" i="16" s="1"/>
  <c r="L34" i="16"/>
  <c r="X34" i="16" s="1"/>
  <c r="AG34" i="16" s="1"/>
  <c r="AR34" i="16" s="1"/>
  <c r="Z82" i="16"/>
  <c r="AI82" i="16" s="1"/>
  <c r="AT82" i="16" s="1"/>
  <c r="K27" i="3" s="1"/>
  <c r="Z83" i="16"/>
  <c r="AI83" i="16" s="1"/>
  <c r="AT83" i="16" s="1"/>
  <c r="Z84" i="16"/>
  <c r="AI84" i="16" s="1"/>
  <c r="AT84" i="16" s="1"/>
  <c r="Z85" i="16"/>
  <c r="AI85" i="16" s="1"/>
  <c r="AT85" i="16" s="1"/>
  <c r="Z86" i="16"/>
  <c r="AI86" i="16" s="1"/>
  <c r="AT86" i="16" s="1"/>
  <c r="Z87" i="16"/>
  <c r="AI87" i="16" s="1"/>
  <c r="AT87" i="16" s="1"/>
  <c r="Z88" i="16"/>
  <c r="AI88" i="16" s="1"/>
  <c r="AT88" i="16" s="1"/>
  <c r="Z89" i="16"/>
  <c r="AI89" i="16" s="1"/>
  <c r="AT89" i="16" s="1"/>
  <c r="Z90" i="16"/>
  <c r="AI90" i="16" s="1"/>
  <c r="AT90" i="16" s="1"/>
  <c r="Z91" i="16"/>
  <c r="AI91" i="16" s="1"/>
  <c r="AT91" i="16" s="1"/>
  <c r="Z92" i="16"/>
  <c r="AI92" i="16" s="1"/>
  <c r="AT92" i="16" s="1"/>
  <c r="Z93" i="16"/>
  <c r="AI93" i="16" s="1"/>
  <c r="AT93" i="16" s="1"/>
  <c r="Z94" i="16"/>
  <c r="AI94" i="16" s="1"/>
  <c r="AT94" i="16" s="1"/>
  <c r="Z95" i="16"/>
  <c r="AI95" i="16" s="1"/>
  <c r="AT95" i="16" s="1"/>
  <c r="L31" i="16"/>
  <c r="X31" i="16" s="1"/>
  <c r="AG31" i="16" s="1"/>
  <c r="AR31" i="16" s="1"/>
  <c r="L39" i="16"/>
  <c r="X39" i="16" s="1"/>
  <c r="AG39" i="16" s="1"/>
  <c r="AR39" i="16" s="1"/>
  <c r="L47" i="16"/>
  <c r="X47" i="16" s="1"/>
  <c r="Y85" i="16"/>
  <c r="AH85" i="16" s="1"/>
  <c r="AS85" i="16" s="1"/>
  <c r="X84" i="16"/>
  <c r="AG84" i="16" s="1"/>
  <c r="AR84" i="16" s="1"/>
  <c r="J46" i="16"/>
  <c r="W46" i="16" s="1"/>
  <c r="W86" i="16"/>
  <c r="AF86" i="16" s="1"/>
  <c r="AQ86" i="16" s="1"/>
  <c r="W90" i="16"/>
  <c r="AF90" i="16" s="1"/>
  <c r="AQ90" i="16" s="1"/>
  <c r="W93" i="16"/>
  <c r="AF93" i="16" s="1"/>
  <c r="AQ93" i="16" s="1"/>
  <c r="W94" i="16"/>
  <c r="AF94" i="16" s="1"/>
  <c r="AQ94" i="16" s="1"/>
  <c r="N34" i="16"/>
  <c r="Y34" i="16" s="1"/>
  <c r="AH34" i="16" s="1"/>
  <c r="AS34" i="16" s="1"/>
  <c r="L48" i="16"/>
  <c r="X48" i="16" s="1"/>
  <c r="P46" i="16"/>
  <c r="Z46" i="16" s="1"/>
  <c r="V97" i="16"/>
  <c r="AE97" i="16" s="1"/>
  <c r="AP97" i="16" s="1"/>
  <c r="V98" i="16"/>
  <c r="AE98" i="16" s="1"/>
  <c r="AP98" i="16" s="1"/>
  <c r="V100" i="16"/>
  <c r="AE100" i="16" s="1"/>
  <c r="AP100" i="16" s="1"/>
  <c r="U86" i="16"/>
  <c r="AD86" i="16" s="1"/>
  <c r="AO86" i="16" s="1"/>
  <c r="U88" i="16"/>
  <c r="AD88" i="16" s="1"/>
  <c r="AO88" i="16" s="1"/>
  <c r="U90" i="16"/>
  <c r="AD90" i="16" s="1"/>
  <c r="AO90" i="16" s="1"/>
  <c r="U94" i="16"/>
  <c r="AD94" i="16" s="1"/>
  <c r="AO94" i="16" s="1"/>
  <c r="U95" i="16"/>
  <c r="AD95" i="16" s="1"/>
  <c r="AO95" i="16" s="1"/>
  <c r="U96" i="16"/>
  <c r="AD96" i="16" s="1"/>
  <c r="AO96" i="16" s="1"/>
  <c r="U98" i="16"/>
  <c r="AD98" i="16" s="1"/>
  <c r="AO98" i="16" s="1"/>
  <c r="H42" i="16"/>
  <c r="V42" i="16" s="1"/>
  <c r="AE42" i="16" s="1"/>
  <c r="AP42" i="16" s="1"/>
  <c r="T96" i="16"/>
  <c r="AC96" i="16" s="1"/>
  <c r="T97" i="16"/>
  <c r="AC97" i="16" s="1"/>
  <c r="T98" i="16"/>
  <c r="AC98" i="16" s="1"/>
  <c r="T99" i="16"/>
  <c r="AC99" i="16" s="1"/>
  <c r="T100" i="16"/>
  <c r="AC100" i="16" s="1"/>
  <c r="T101" i="16"/>
  <c r="AC101" i="16" s="1"/>
  <c r="H46" i="16"/>
  <c r="V46" i="16" s="1"/>
  <c r="T82" i="16"/>
  <c r="AC82" i="16" s="1"/>
  <c r="T83" i="16"/>
  <c r="AC83" i="16" s="1"/>
  <c r="T84" i="16"/>
  <c r="AC84" i="16" s="1"/>
  <c r="Y89" i="16"/>
  <c r="AH89" i="16" s="1"/>
  <c r="AS89" i="16" s="1"/>
  <c r="Y93" i="16"/>
  <c r="AH93" i="16" s="1"/>
  <c r="AS93" i="16" s="1"/>
  <c r="Y97" i="16"/>
  <c r="AH97" i="16" s="1"/>
  <c r="AS97" i="16" s="1"/>
  <c r="Y100" i="16"/>
  <c r="AH100" i="16" s="1"/>
  <c r="AS100" i="16" s="1"/>
  <c r="H36" i="16"/>
  <c r="V36" i="16" s="1"/>
  <c r="AE36" i="16" s="1"/>
  <c r="AP36" i="16" s="1"/>
  <c r="H44" i="16"/>
  <c r="V44" i="16" s="1"/>
  <c r="AE44" i="16" s="1"/>
  <c r="AP44" i="16" s="1"/>
  <c r="AA82" i="16"/>
  <c r="AJ82" i="16" s="1"/>
  <c r="X88" i="16"/>
  <c r="AG88" i="16" s="1"/>
  <c r="AR88" i="16" s="1"/>
  <c r="X89" i="16"/>
  <c r="AG89" i="16" s="1"/>
  <c r="AR89" i="16" s="1"/>
  <c r="X91" i="16"/>
  <c r="AG91" i="16" s="1"/>
  <c r="AR91" i="16" s="1"/>
  <c r="X92" i="16"/>
  <c r="AG92" i="16" s="1"/>
  <c r="AR92" i="16" s="1"/>
  <c r="X93" i="16"/>
  <c r="AG93" i="16" s="1"/>
  <c r="AR93" i="16" s="1"/>
  <c r="X96" i="16"/>
  <c r="AG96" i="16" s="1"/>
  <c r="AR96" i="16" s="1"/>
  <c r="X97" i="16"/>
  <c r="AG97" i="16" s="1"/>
  <c r="AR97" i="16" s="1"/>
  <c r="X99" i="16"/>
  <c r="AG99" i="16" s="1"/>
  <c r="AR99" i="16" s="1"/>
  <c r="X100" i="16"/>
  <c r="AG100" i="16" s="1"/>
  <c r="AR100" i="16" s="1"/>
  <c r="H45" i="16"/>
  <c r="V45" i="16" s="1"/>
  <c r="AE45" i="16" s="1"/>
  <c r="AP45" i="16" s="1"/>
  <c r="AA84" i="16"/>
  <c r="AJ84" i="16" s="1"/>
  <c r="W101" i="16"/>
  <c r="AF101" i="16" s="1"/>
  <c r="AQ101" i="16" s="1"/>
  <c r="H40" i="16"/>
  <c r="V40" i="16" s="1"/>
  <c r="AE40" i="16" s="1"/>
  <c r="AP40" i="16" s="1"/>
  <c r="W96" i="16"/>
  <c r="AF96" i="16" s="1"/>
  <c r="AQ96" i="16" s="1"/>
  <c r="W98" i="16"/>
  <c r="AF98" i="16" s="1"/>
  <c r="AQ98" i="16" s="1"/>
  <c r="V99" i="16"/>
  <c r="AE99" i="16" s="1"/>
  <c r="AP99" i="16" s="1"/>
  <c r="H37" i="16"/>
  <c r="V37" i="16" s="1"/>
  <c r="AE37" i="16" s="1"/>
  <c r="AP37" i="16" s="1"/>
  <c r="H35" i="16"/>
  <c r="V35" i="16" s="1"/>
  <c r="AE35" i="16" s="1"/>
  <c r="AP35" i="16" s="1"/>
  <c r="J50" i="16"/>
  <c r="W50" i="16" s="1"/>
  <c r="J38" i="16"/>
  <c r="W38" i="16" s="1"/>
  <c r="AF38" i="16" s="1"/>
  <c r="AQ38" i="16" s="1"/>
  <c r="W85" i="16"/>
  <c r="AF85" i="16" s="1"/>
  <c r="AQ85" i="16" s="1"/>
  <c r="V90" i="16"/>
  <c r="AE90" i="16" s="1"/>
  <c r="AP90" i="16" s="1"/>
  <c r="V91" i="16"/>
  <c r="AE91" i="16" s="1"/>
  <c r="AP91" i="16" s="1"/>
  <c r="V92" i="16"/>
  <c r="AE92" i="16" s="1"/>
  <c r="AP92" i="16" s="1"/>
  <c r="V93" i="16"/>
  <c r="AE93" i="16" s="1"/>
  <c r="AP93" i="16" s="1"/>
  <c r="AA101" i="16"/>
  <c r="AJ101" i="16" s="1"/>
  <c r="Z101" i="16"/>
  <c r="AI101" i="16" s="1"/>
  <c r="AT101" i="16" s="1"/>
  <c r="Y101" i="16"/>
  <c r="AH101" i="16" s="1"/>
  <c r="AS101" i="16" s="1"/>
  <c r="H43" i="16"/>
  <c r="V43" i="16" s="1"/>
  <c r="AE43" i="16" s="1"/>
  <c r="AP43" i="16" s="1"/>
  <c r="H34" i="16"/>
  <c r="V34" i="16" s="1"/>
  <c r="AE34" i="16" s="1"/>
  <c r="AP34" i="16" s="1"/>
  <c r="H50" i="16"/>
  <c r="V50" i="16" s="1"/>
  <c r="H32" i="16"/>
  <c r="V32" i="16" s="1"/>
  <c r="AE32" i="16" s="1"/>
  <c r="AP32" i="16" s="1"/>
  <c r="H48" i="16"/>
  <c r="V48" i="16" s="1"/>
  <c r="N50" i="16"/>
  <c r="Y50" i="16" s="1"/>
  <c r="F50" i="16"/>
  <c r="U50" i="16" s="1"/>
  <c r="F43" i="16"/>
  <c r="U43" i="16" s="1"/>
  <c r="AD43" i="16" s="1"/>
  <c r="AO43" i="16" s="1"/>
  <c r="H33" i="16"/>
  <c r="V33" i="16" s="1"/>
  <c r="AE33" i="16" s="1"/>
  <c r="AP33" i="16" s="1"/>
  <c r="H41" i="16"/>
  <c r="V41" i="16" s="1"/>
  <c r="AE41" i="16" s="1"/>
  <c r="AP41" i="16" s="1"/>
  <c r="H49" i="16"/>
  <c r="V49" i="16" s="1"/>
  <c r="U85" i="16"/>
  <c r="AD85" i="16" s="1"/>
  <c r="AO85" i="16" s="1"/>
  <c r="T86" i="16"/>
  <c r="AC86" i="16" s="1"/>
  <c r="T87" i="16"/>
  <c r="AC87" i="16" s="1"/>
  <c r="T88" i="16"/>
  <c r="AC88" i="16" s="1"/>
  <c r="T89" i="16"/>
  <c r="AC89" i="16" s="1"/>
  <c r="T90" i="16"/>
  <c r="AC90" i="16" s="1"/>
  <c r="T91" i="16"/>
  <c r="AC91" i="16" s="1"/>
  <c r="T92" i="16"/>
  <c r="AC92" i="16" s="1"/>
  <c r="T93" i="16"/>
  <c r="AC93" i="16" s="1"/>
  <c r="T94" i="16"/>
  <c r="AC94" i="16" s="1"/>
  <c r="T95" i="16"/>
  <c r="AC95" i="16" s="1"/>
  <c r="AA97" i="16"/>
  <c r="AJ97" i="16" s="1"/>
  <c r="AA100" i="16"/>
  <c r="AJ100" i="16" s="1"/>
  <c r="F36" i="16"/>
  <c r="U36" i="16" s="1"/>
  <c r="AD36" i="16" s="1"/>
  <c r="AO36" i="16" s="1"/>
  <c r="J35" i="16"/>
  <c r="W35" i="16" s="1"/>
  <c r="AF35" i="16" s="1"/>
  <c r="AQ35" i="16" s="1"/>
  <c r="J43" i="16"/>
  <c r="W43" i="16" s="1"/>
  <c r="AF43" i="16" s="1"/>
  <c r="AQ43" i="16" s="1"/>
  <c r="P36" i="16"/>
  <c r="Z36" i="16" s="1"/>
  <c r="AI36" i="16" s="1"/>
  <c r="AT36" i="16" s="1"/>
  <c r="P44" i="16"/>
  <c r="Z44" i="16" s="1"/>
  <c r="AI44" i="16" s="1"/>
  <c r="AT44" i="16" s="1"/>
  <c r="W82" i="16"/>
  <c r="AF82" i="16" s="1"/>
  <c r="AQ82" i="16" s="1"/>
  <c r="H27" i="3" s="1"/>
  <c r="V84" i="16"/>
  <c r="AE84" i="16" s="1"/>
  <c r="AP84" i="16" s="1"/>
  <c r="T85" i="16"/>
  <c r="AC85" i="16" s="1"/>
  <c r="AA85" i="16"/>
  <c r="AJ85" i="16" s="1"/>
  <c r="AA89" i="16"/>
  <c r="AJ89" i="16" s="1"/>
  <c r="AA92" i="16"/>
  <c r="AJ92" i="16" s="1"/>
  <c r="AA93" i="16"/>
  <c r="AJ93" i="16" s="1"/>
  <c r="Z96" i="16"/>
  <c r="AI96" i="16" s="1"/>
  <c r="AT96" i="16" s="1"/>
  <c r="Z97" i="16"/>
  <c r="AI97" i="16" s="1"/>
  <c r="AT97" i="16" s="1"/>
  <c r="Z98" i="16"/>
  <c r="AI98" i="16" s="1"/>
  <c r="AT98" i="16" s="1"/>
  <c r="Z100" i="16"/>
  <c r="AI100" i="16" s="1"/>
  <c r="AT100" i="16" s="1"/>
  <c r="X101" i="16"/>
  <c r="AG101" i="16" s="1"/>
  <c r="AR101" i="16" s="1"/>
  <c r="J32" i="16"/>
  <c r="W32" i="16" s="1"/>
  <c r="AF32" i="16" s="1"/>
  <c r="AQ32" i="16" s="1"/>
  <c r="J40" i="16"/>
  <c r="W40" i="16" s="1"/>
  <c r="AF40" i="16" s="1"/>
  <c r="AQ40" i="16" s="1"/>
  <c r="J48" i="16"/>
  <c r="W48" i="16" s="1"/>
  <c r="J31" i="16"/>
  <c r="W31" i="16" s="1"/>
  <c r="AF31" i="16" s="1"/>
  <c r="AQ31" i="16" s="1"/>
  <c r="J39" i="16"/>
  <c r="W39" i="16" s="1"/>
  <c r="AF39" i="16" s="1"/>
  <c r="AQ39" i="16" s="1"/>
  <c r="J47" i="16"/>
  <c r="W47" i="16" s="1"/>
  <c r="J37" i="16"/>
  <c r="W37" i="16" s="1"/>
  <c r="AF37" i="16" s="1"/>
  <c r="AQ37" i="16" s="1"/>
  <c r="J45" i="16"/>
  <c r="W45" i="16" s="1"/>
  <c r="AF45" i="16" s="1"/>
  <c r="AQ45" i="16" s="1"/>
  <c r="J36" i="16"/>
  <c r="W36" i="16" s="1"/>
  <c r="AF36" i="16" s="1"/>
  <c r="AQ36" i="16" s="1"/>
  <c r="J44" i="16"/>
  <c r="W44" i="16" s="1"/>
  <c r="AF44" i="16" s="1"/>
  <c r="AQ44" i="16" s="1"/>
  <c r="H31" i="16"/>
  <c r="V31" i="16" s="1"/>
  <c r="AE31" i="16" s="1"/>
  <c r="AP31" i="16" s="1"/>
  <c r="H39" i="16"/>
  <c r="V39" i="16" s="1"/>
  <c r="AE39" i="16" s="1"/>
  <c r="AP39" i="16" s="1"/>
  <c r="J34" i="16"/>
  <c r="W34" i="16" s="1"/>
  <c r="AF34" i="16" s="1"/>
  <c r="AQ34" i="16" s="1"/>
  <c r="J42" i="16"/>
  <c r="W42" i="16" s="1"/>
  <c r="AF42" i="16" s="1"/>
  <c r="AQ42" i="16" s="1"/>
  <c r="F38" i="16"/>
  <c r="U38" i="16" s="1"/>
  <c r="AD38" i="16" s="1"/>
  <c r="AO38" i="16" s="1"/>
  <c r="F46" i="16"/>
  <c r="U46" i="16" s="1"/>
  <c r="F34" i="16"/>
  <c r="U34" i="16" s="1"/>
  <c r="AD34" i="16" s="1"/>
  <c r="AO34" i="16" s="1"/>
  <c r="F42" i="16"/>
  <c r="U42" i="16" s="1"/>
  <c r="AD42" i="16" s="1"/>
  <c r="AO42" i="16" s="1"/>
  <c r="N37" i="14"/>
  <c r="CR28" i="2" s="1"/>
  <c r="DF28" i="2" s="1"/>
  <c r="M37" i="14"/>
  <c r="CQ28" i="2" s="1"/>
  <c r="DE28" i="2" s="1"/>
  <c r="L38" i="14"/>
  <c r="CP29" i="2" s="1"/>
  <c r="DD29" i="2" s="1"/>
  <c r="M38" i="14"/>
  <c r="CQ29" i="2" s="1"/>
  <c r="DE29" i="2" s="1"/>
  <c r="N38" i="14"/>
  <c r="CR29" i="2" s="1"/>
  <c r="DF29" i="2" s="1"/>
  <c r="L39" i="14"/>
  <c r="CP30" i="2" s="1"/>
  <c r="DD30" i="2" s="1"/>
  <c r="N39" i="14"/>
  <c r="CR30" i="2" s="1"/>
  <c r="DF30" i="2" s="1"/>
  <c r="M39" i="14"/>
  <c r="CQ30" i="2" s="1"/>
  <c r="DE30" i="2" s="1"/>
  <c r="L42" i="14"/>
  <c r="CP33" i="2" s="1"/>
  <c r="DD33" i="2" s="1"/>
  <c r="M42" i="14"/>
  <c r="CQ33" i="2" s="1"/>
  <c r="DE33" i="2" s="1"/>
  <c r="N42" i="14"/>
  <c r="CR33" i="2" s="1"/>
  <c r="DF33" i="2" s="1"/>
  <c r="L43" i="14"/>
  <c r="CP34" i="2" s="1"/>
  <c r="DD34" i="2" s="1"/>
  <c r="N43" i="14"/>
  <c r="CR34" i="2" s="1"/>
  <c r="DF34" i="2" s="1"/>
  <c r="M43" i="14"/>
  <c r="CQ34" i="2" s="1"/>
  <c r="DE34" i="2" s="1"/>
  <c r="N40" i="14"/>
  <c r="CR31" i="2" s="1"/>
  <c r="DF31" i="2" s="1"/>
  <c r="M40" i="14"/>
  <c r="CQ31" i="2" s="1"/>
  <c r="DE31" i="2" s="1"/>
  <c r="L40" i="14"/>
  <c r="CP31" i="2" s="1"/>
  <c r="DD31" i="2" s="1"/>
  <c r="C85" i="14"/>
  <c r="CG50" i="2" s="1"/>
  <c r="D85" i="14"/>
  <c r="CH50" i="2" s="1"/>
  <c r="E84" i="14"/>
  <c r="CI49" i="2" s="1"/>
  <c r="D84" i="14"/>
  <c r="CH49" i="2" s="1"/>
  <c r="C88" i="14"/>
  <c r="CG53" i="2" s="1"/>
  <c r="D88" i="14"/>
  <c r="CH53" i="2" s="1"/>
  <c r="E88" i="14"/>
  <c r="CI53" i="2" s="1"/>
  <c r="D87" i="14"/>
  <c r="CH52" i="2" s="1"/>
  <c r="C87" i="14"/>
  <c r="CG52" i="2" s="1"/>
  <c r="N84" i="14"/>
  <c r="CR49" i="2" s="1"/>
  <c r="L84" i="14"/>
  <c r="CP49" i="2" s="1"/>
  <c r="M81" i="14"/>
  <c r="CQ46" i="2" s="1"/>
  <c r="N81" i="14"/>
  <c r="CR46" i="2" s="1"/>
  <c r="L81" i="14"/>
  <c r="CP46" i="2" s="1"/>
  <c r="L83" i="14"/>
  <c r="CP48" i="2" s="1"/>
  <c r="M83" i="14"/>
  <c r="CQ48" i="2" s="1"/>
  <c r="N83" i="14"/>
  <c r="CR48" i="2" s="1"/>
  <c r="D71" i="14"/>
  <c r="C86" i="14" s="1"/>
  <c r="CG51" i="2" s="1"/>
  <c r="D66" i="14"/>
  <c r="D67" i="14"/>
  <c r="R73" i="14"/>
  <c r="M84" i="14"/>
  <c r="CQ49" i="2" s="1"/>
  <c r="M86" i="14"/>
  <c r="CQ51" i="2" s="1"/>
  <c r="E87" i="14"/>
  <c r="CI52" i="2" s="1"/>
  <c r="C84" i="14"/>
  <c r="CG49" i="2" s="1"/>
  <c r="M82" i="14"/>
  <c r="CQ47" i="2" s="1"/>
  <c r="L86" i="14"/>
  <c r="CP51" i="2" s="1"/>
  <c r="L82" i="14"/>
  <c r="CP47" i="2" s="1"/>
  <c r="C83" i="14"/>
  <c r="CG48" i="2" s="1"/>
  <c r="E83" i="14"/>
  <c r="CI48" i="2" s="1"/>
  <c r="E85" i="14"/>
  <c r="CI50" i="2" s="1"/>
  <c r="E71" i="14"/>
  <c r="F71" i="14" s="1"/>
  <c r="F86" i="14" s="1"/>
  <c r="CJ51" i="2" s="1"/>
  <c r="C50" i="16"/>
  <c r="D50" i="16" s="1"/>
  <c r="T50" i="16" s="1"/>
  <c r="C49" i="16"/>
  <c r="D49" i="16" s="1"/>
  <c r="T49" i="16" s="1"/>
  <c r="C48" i="16"/>
  <c r="D48" i="16" s="1"/>
  <c r="T48" i="16" s="1"/>
  <c r="C47" i="16"/>
  <c r="D47" i="16" s="1"/>
  <c r="T47" i="16" s="1"/>
  <c r="C46" i="16"/>
  <c r="D46" i="16" s="1"/>
  <c r="T46" i="16" s="1"/>
  <c r="C45" i="16"/>
  <c r="D45" i="16" s="1"/>
  <c r="T45" i="16" s="1"/>
  <c r="AC45" i="16" s="1"/>
  <c r="C44" i="16"/>
  <c r="D44" i="16" s="1"/>
  <c r="T44" i="16" s="1"/>
  <c r="AC44" i="16" s="1"/>
  <c r="C43" i="16"/>
  <c r="D43" i="16" s="1"/>
  <c r="T43" i="16" s="1"/>
  <c r="AC43" i="16" s="1"/>
  <c r="C42" i="16"/>
  <c r="D42" i="16" s="1"/>
  <c r="T42" i="16" s="1"/>
  <c r="AC42" i="16" s="1"/>
  <c r="C41" i="16"/>
  <c r="D41" i="16" s="1"/>
  <c r="T41" i="16" s="1"/>
  <c r="AC41" i="16" s="1"/>
  <c r="C40" i="16"/>
  <c r="D40" i="16" s="1"/>
  <c r="T40" i="16" s="1"/>
  <c r="AC40" i="16" s="1"/>
  <c r="C39" i="16"/>
  <c r="D39" i="16" s="1"/>
  <c r="T39" i="16" s="1"/>
  <c r="AC39" i="16" s="1"/>
  <c r="C38" i="16"/>
  <c r="D38" i="16" s="1"/>
  <c r="T38" i="16" s="1"/>
  <c r="AC38" i="16" s="1"/>
  <c r="C37" i="16"/>
  <c r="D37" i="16" s="1"/>
  <c r="T37" i="16" s="1"/>
  <c r="AC37" i="16" s="1"/>
  <c r="C36" i="16"/>
  <c r="D36" i="16" s="1"/>
  <c r="T36" i="16" s="1"/>
  <c r="AC36" i="16" s="1"/>
  <c r="C35" i="16"/>
  <c r="D35" i="16" s="1"/>
  <c r="T35" i="16" s="1"/>
  <c r="AC35" i="16" s="1"/>
  <c r="C34" i="16"/>
  <c r="D34" i="16" s="1"/>
  <c r="T34" i="16" s="1"/>
  <c r="AC34" i="16" s="1"/>
  <c r="C33" i="16"/>
  <c r="D33" i="16" s="1"/>
  <c r="T33" i="16" s="1"/>
  <c r="AC33" i="16" s="1"/>
  <c r="C32" i="16"/>
  <c r="D32" i="16" s="1"/>
  <c r="T32" i="16" s="1"/>
  <c r="AC32" i="16" s="1"/>
  <c r="C31" i="16"/>
  <c r="D31" i="16" s="1"/>
  <c r="T31" i="16" s="1"/>
  <c r="AC31" i="16" s="1"/>
  <c r="BG44" i="2"/>
  <c r="BE44" i="2"/>
  <c r="BK44" i="2"/>
  <c r="CA44" i="2"/>
  <c r="CB15" i="2"/>
  <c r="CB14" i="2"/>
  <c r="CB13" i="2"/>
  <c r="CB12" i="2"/>
  <c r="CB10" i="2"/>
  <c r="CB9" i="2"/>
  <c r="CB8" i="2"/>
  <c r="BG25" i="2"/>
  <c r="B366" i="17"/>
  <c r="B365" i="17"/>
  <c r="B364" i="17"/>
  <c r="B363" i="17"/>
  <c r="B362" i="17"/>
  <c r="B361" i="17"/>
  <c r="B360" i="17"/>
  <c r="B359" i="17"/>
  <c r="B358" i="17"/>
  <c r="B357" i="17"/>
  <c r="B356" i="17"/>
  <c r="B355" i="17"/>
  <c r="B354" i="17"/>
  <c r="B353" i="17"/>
  <c r="B352" i="17"/>
  <c r="B351" i="17"/>
  <c r="B350" i="17"/>
  <c r="B349" i="17"/>
  <c r="B348" i="17"/>
  <c r="B347" i="17"/>
  <c r="B346" i="17"/>
  <c r="B345" i="17"/>
  <c r="B344" i="17"/>
  <c r="B343" i="17"/>
  <c r="B342" i="17"/>
  <c r="B341" i="17"/>
  <c r="B340" i="17"/>
  <c r="B339" i="17"/>
  <c r="B338" i="17"/>
  <c r="B337" i="17"/>
  <c r="B336" i="17"/>
  <c r="B335" i="17"/>
  <c r="B334" i="17"/>
  <c r="B333" i="17"/>
  <c r="B332" i="17"/>
  <c r="B331" i="17"/>
  <c r="B330" i="17"/>
  <c r="B329" i="17"/>
  <c r="B328" i="17"/>
  <c r="B327" i="17"/>
  <c r="B326" i="17"/>
  <c r="B325" i="17"/>
  <c r="B324" i="17"/>
  <c r="B323" i="17"/>
  <c r="B322" i="17"/>
  <c r="B321" i="17"/>
  <c r="B320" i="17"/>
  <c r="B319" i="17"/>
  <c r="B318" i="17"/>
  <c r="B317" i="17"/>
  <c r="B316" i="17"/>
  <c r="B315" i="17"/>
  <c r="B314" i="17"/>
  <c r="B313" i="17"/>
  <c r="B312" i="17"/>
  <c r="B311" i="17"/>
  <c r="B310" i="17"/>
  <c r="B309" i="17"/>
  <c r="B308" i="17"/>
  <c r="B307" i="17"/>
  <c r="B306" i="17"/>
  <c r="B305" i="17"/>
  <c r="B304" i="17"/>
  <c r="B303" i="17"/>
  <c r="B302" i="17"/>
  <c r="B301" i="17"/>
  <c r="B300" i="17"/>
  <c r="B299" i="17"/>
  <c r="B298" i="17"/>
  <c r="B297" i="17"/>
  <c r="B296" i="17"/>
  <c r="B295" i="17"/>
  <c r="B294" i="17"/>
  <c r="B293" i="17"/>
  <c r="B292" i="17"/>
  <c r="B291" i="17"/>
  <c r="B290" i="17"/>
  <c r="B289" i="17"/>
  <c r="B288" i="17"/>
  <c r="B287" i="17"/>
  <c r="B286" i="17"/>
  <c r="B285" i="17"/>
  <c r="B284" i="17"/>
  <c r="B283" i="17"/>
  <c r="B282" i="17"/>
  <c r="B281" i="17"/>
  <c r="B280" i="17"/>
  <c r="B279" i="17"/>
  <c r="B278" i="17"/>
  <c r="B277" i="17"/>
  <c r="B276" i="17"/>
  <c r="B275" i="17"/>
  <c r="B274" i="17"/>
  <c r="B273" i="17"/>
  <c r="B272" i="17"/>
  <c r="B271" i="17"/>
  <c r="B270" i="17"/>
  <c r="B269" i="17"/>
  <c r="B268" i="17"/>
  <c r="B267" i="17"/>
  <c r="B266" i="17"/>
  <c r="B265" i="17"/>
  <c r="B264" i="17"/>
  <c r="B263" i="17"/>
  <c r="B262" i="17"/>
  <c r="B261" i="17"/>
  <c r="B260" i="17"/>
  <c r="B259" i="17"/>
  <c r="B258" i="17"/>
  <c r="B257" i="17"/>
  <c r="B256" i="17"/>
  <c r="B255" i="17"/>
  <c r="B254" i="17"/>
  <c r="B253" i="17"/>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B3" i="17"/>
  <c r="B2" i="17"/>
  <c r="C42" i="14" l="1"/>
  <c r="CG33" i="2" s="1"/>
  <c r="CU33" i="2" s="1"/>
  <c r="AV98" i="16"/>
  <c r="AU98" i="16"/>
  <c r="AW98" i="16"/>
  <c r="AU90" i="16"/>
  <c r="AW90" i="16"/>
  <c r="AV90" i="16"/>
  <c r="AW88" i="16"/>
  <c r="AV88" i="16"/>
  <c r="AU88" i="16"/>
  <c r="AU94" i="16"/>
  <c r="AW94" i="16"/>
  <c r="AV94" i="16"/>
  <c r="AV96" i="16"/>
  <c r="AU96" i="16"/>
  <c r="AW96" i="16"/>
  <c r="AV87" i="16"/>
  <c r="AU87" i="16"/>
  <c r="AW87" i="16"/>
  <c r="AU86" i="16"/>
  <c r="AW86" i="16"/>
  <c r="AV86" i="16"/>
  <c r="AV95" i="16"/>
  <c r="AU95" i="16"/>
  <c r="AW95" i="16"/>
  <c r="AV93" i="16"/>
  <c r="AU93" i="16"/>
  <c r="AW93" i="16"/>
  <c r="AN33" i="16"/>
  <c r="AL33" i="16"/>
  <c r="AM33" i="16"/>
  <c r="AN41" i="16"/>
  <c r="AL41" i="16"/>
  <c r="AM41" i="16"/>
  <c r="M87" i="14"/>
  <c r="CQ52" i="2" s="1"/>
  <c r="DE52" i="2" s="1"/>
  <c r="AN89" i="16"/>
  <c r="AM89" i="16"/>
  <c r="AL89" i="16"/>
  <c r="AW82" i="16"/>
  <c r="N27" i="3" s="1"/>
  <c r="AV82" i="16"/>
  <c r="M27" i="3" s="1"/>
  <c r="AU82" i="16"/>
  <c r="L27" i="3" s="1"/>
  <c r="AN99" i="16"/>
  <c r="AM99" i="16"/>
  <c r="AL99" i="16"/>
  <c r="AT152" i="16"/>
  <c r="AV152" i="16"/>
  <c r="AW152" i="16"/>
  <c r="AU152" i="16"/>
  <c r="AV140" i="16"/>
  <c r="AT140" i="16"/>
  <c r="AW140" i="16"/>
  <c r="AU140" i="16"/>
  <c r="AM34" i="16"/>
  <c r="AN34" i="16"/>
  <c r="AL34" i="16"/>
  <c r="AM42" i="16"/>
  <c r="AN42" i="16"/>
  <c r="AL42" i="16"/>
  <c r="AN88" i="16"/>
  <c r="AM88" i="16"/>
  <c r="AL88" i="16"/>
  <c r="AL98" i="16"/>
  <c r="AN98" i="16"/>
  <c r="AM98" i="16"/>
  <c r="AW141" i="16"/>
  <c r="AU141" i="16"/>
  <c r="AV141" i="16"/>
  <c r="AT141" i="16"/>
  <c r="AM84" i="16"/>
  <c r="AL84" i="16"/>
  <c r="AN84" i="16"/>
  <c r="AM44" i="16"/>
  <c r="AN44" i="16"/>
  <c r="AL44" i="16"/>
  <c r="AN86" i="16"/>
  <c r="AM86" i="16"/>
  <c r="AL86" i="16"/>
  <c r="N87" i="14"/>
  <c r="CR52" i="2" s="1"/>
  <c r="AU100" i="16"/>
  <c r="AW100" i="16"/>
  <c r="AV100" i="16"/>
  <c r="AN93" i="16"/>
  <c r="AM93" i="16"/>
  <c r="AL93" i="16"/>
  <c r="AM38" i="16"/>
  <c r="AN38" i="16"/>
  <c r="AL38" i="16"/>
  <c r="L85" i="14"/>
  <c r="CP50" i="2" s="1"/>
  <c r="DD50" i="2" s="1"/>
  <c r="AV99" i="16"/>
  <c r="AU99" i="16"/>
  <c r="AW99" i="16"/>
  <c r="AL92" i="16"/>
  <c r="AN92" i="16"/>
  <c r="AM92" i="16"/>
  <c r="AV101" i="16"/>
  <c r="AU101" i="16"/>
  <c r="AW101" i="16"/>
  <c r="AU146" i="16"/>
  <c r="AV146" i="16"/>
  <c r="AW146" i="16"/>
  <c r="AT146" i="16"/>
  <c r="AU145" i="16"/>
  <c r="AW145" i="16"/>
  <c r="AV145" i="16"/>
  <c r="AT145" i="16"/>
  <c r="AL43" i="16"/>
  <c r="AM43" i="16"/>
  <c r="AN43" i="16"/>
  <c r="AV85" i="16"/>
  <c r="AU85" i="16"/>
  <c r="AW85" i="16"/>
  <c r="AN95" i="16"/>
  <c r="AM95" i="16"/>
  <c r="AL95" i="16"/>
  <c r="AN97" i="16"/>
  <c r="AM97" i="16"/>
  <c r="AL97" i="16"/>
  <c r="AN85" i="16"/>
  <c r="AM85" i="16"/>
  <c r="AL85" i="16"/>
  <c r="AL94" i="16"/>
  <c r="AN94" i="16"/>
  <c r="AM94" i="16"/>
  <c r="AL45" i="16"/>
  <c r="AM45" i="16"/>
  <c r="AN45" i="16"/>
  <c r="AV91" i="16"/>
  <c r="AU91" i="16"/>
  <c r="AW91" i="16"/>
  <c r="AM31" i="16"/>
  <c r="AN31" i="16"/>
  <c r="AL31" i="16"/>
  <c r="AL39" i="16"/>
  <c r="AM39" i="16"/>
  <c r="AN39" i="16"/>
  <c r="AV89" i="16"/>
  <c r="AU89" i="16"/>
  <c r="AW89" i="16"/>
  <c r="AN91" i="16"/>
  <c r="AM91" i="16"/>
  <c r="AL91" i="16"/>
  <c r="AW84" i="16"/>
  <c r="AV84" i="16"/>
  <c r="AU84" i="16"/>
  <c r="AN101" i="16"/>
  <c r="AM101" i="16"/>
  <c r="AL101" i="16"/>
  <c r="AV142" i="16"/>
  <c r="AU142" i="16"/>
  <c r="AW142" i="16"/>
  <c r="AT142" i="16"/>
  <c r="AU149" i="16"/>
  <c r="AV149" i="16"/>
  <c r="AW149" i="16"/>
  <c r="AT149" i="16"/>
  <c r="AM35" i="16"/>
  <c r="AL35" i="16"/>
  <c r="AN35" i="16"/>
  <c r="AN87" i="16"/>
  <c r="AM87" i="16"/>
  <c r="AL87" i="16"/>
  <c r="AV144" i="16"/>
  <c r="AU144" i="16"/>
  <c r="AW144" i="16"/>
  <c r="AT144" i="16"/>
  <c r="AM36" i="16"/>
  <c r="AN36" i="16"/>
  <c r="AL36" i="16"/>
  <c r="AV92" i="16"/>
  <c r="AW92" i="16"/>
  <c r="AU92" i="16"/>
  <c r="AV83" i="16"/>
  <c r="AU83" i="16"/>
  <c r="AW83" i="16"/>
  <c r="AN83" i="16"/>
  <c r="AM83" i="16"/>
  <c r="AL83" i="16"/>
  <c r="AM96" i="16"/>
  <c r="AN96" i="16"/>
  <c r="AL96" i="16"/>
  <c r="AN37" i="16"/>
  <c r="AM37" i="16"/>
  <c r="AL37" i="16"/>
  <c r="AL82" i="16"/>
  <c r="C27" i="3" s="1"/>
  <c r="AN82" i="16"/>
  <c r="E27" i="3" s="1"/>
  <c r="AM82" i="16"/>
  <c r="D27" i="3" s="1"/>
  <c r="AM32" i="16"/>
  <c r="AN32" i="16"/>
  <c r="AL32" i="16"/>
  <c r="AM40" i="16"/>
  <c r="AN40" i="16"/>
  <c r="AL40" i="16"/>
  <c r="N85" i="14"/>
  <c r="CR50" i="2" s="1"/>
  <c r="DF50" i="2" s="1"/>
  <c r="AV97" i="16"/>
  <c r="AU97" i="16"/>
  <c r="AW97" i="16"/>
  <c r="AM90" i="16"/>
  <c r="AL90" i="16"/>
  <c r="AN90" i="16"/>
  <c r="AL100" i="16"/>
  <c r="AN100" i="16"/>
  <c r="AM100" i="16"/>
  <c r="D86" i="14"/>
  <c r="CH51" i="2" s="1"/>
  <c r="CV51" i="2" s="1"/>
  <c r="E86" i="14"/>
  <c r="CI51" i="2" s="1"/>
  <c r="CW51" i="2" s="1"/>
  <c r="D81" i="14"/>
  <c r="CH46" i="2" s="1"/>
  <c r="C81" i="14"/>
  <c r="CG46" i="2" s="1"/>
  <c r="CU46" i="2" s="1"/>
  <c r="E81" i="14"/>
  <c r="CI46" i="2" s="1"/>
  <c r="CW46" i="2" s="1"/>
  <c r="C82" i="14"/>
  <c r="CG47" i="2" s="1"/>
  <c r="CU47" i="2" s="1"/>
  <c r="D82" i="14"/>
  <c r="CH47" i="2" s="1"/>
  <c r="CV47" i="2" s="1"/>
  <c r="E82" i="14"/>
  <c r="CI47" i="2" s="1"/>
  <c r="CW47" i="2" s="1"/>
  <c r="N88" i="14"/>
  <c r="CR53" i="2" s="1"/>
  <c r="DF53" i="2" s="1"/>
  <c r="L88" i="14"/>
  <c r="CP53" i="2" s="1"/>
  <c r="M88" i="14"/>
  <c r="CQ53" i="2" s="1"/>
  <c r="DE53" i="2" s="1"/>
  <c r="AD6" i="16"/>
  <c r="DD53" i="2"/>
  <c r="DC53" i="2"/>
  <c r="DB53" i="2"/>
  <c r="DA53" i="2"/>
  <c r="CZ53" i="2"/>
  <c r="CY53" i="2"/>
  <c r="CX53" i="2"/>
  <c r="CW53" i="2"/>
  <c r="CV53" i="2"/>
  <c r="DF52" i="2"/>
  <c r="DD52" i="2"/>
  <c r="DC52" i="2"/>
  <c r="DB52" i="2"/>
  <c r="DA52" i="2"/>
  <c r="CZ52" i="2"/>
  <c r="CY52" i="2"/>
  <c r="CX52" i="2"/>
  <c r="CW52" i="2"/>
  <c r="CV52" i="2"/>
  <c r="DF51" i="2"/>
  <c r="DE51" i="2"/>
  <c r="DD51" i="2"/>
  <c r="DC51" i="2"/>
  <c r="DB51" i="2"/>
  <c r="DA51" i="2"/>
  <c r="CZ51" i="2"/>
  <c r="CY51" i="2"/>
  <c r="CX51" i="2"/>
  <c r="DE50" i="2"/>
  <c r="DC50" i="2"/>
  <c r="DB50" i="2"/>
  <c r="DA50" i="2"/>
  <c r="CZ50" i="2"/>
  <c r="CY50" i="2"/>
  <c r="CX50" i="2"/>
  <c r="CW50" i="2"/>
  <c r="CV50" i="2"/>
  <c r="DF49" i="2"/>
  <c r="DE49" i="2"/>
  <c r="DD49" i="2"/>
  <c r="DC49" i="2"/>
  <c r="DB49" i="2"/>
  <c r="DA49" i="2"/>
  <c r="CZ49" i="2"/>
  <c r="CY49" i="2"/>
  <c r="CX49" i="2"/>
  <c r="CW49" i="2"/>
  <c r="CV49" i="2"/>
  <c r="DF48" i="2"/>
  <c r="DE48" i="2"/>
  <c r="DD48" i="2"/>
  <c r="DC48" i="2"/>
  <c r="DB48" i="2"/>
  <c r="DA48" i="2"/>
  <c r="CZ48" i="2"/>
  <c r="CY48" i="2"/>
  <c r="CX48" i="2"/>
  <c r="CW48" i="2"/>
  <c r="CV48" i="2"/>
  <c r="DF47" i="2"/>
  <c r="DE47" i="2"/>
  <c r="DD47" i="2"/>
  <c r="DC47" i="2"/>
  <c r="DB47" i="2"/>
  <c r="DA47" i="2"/>
  <c r="CZ47" i="2"/>
  <c r="CY47" i="2"/>
  <c r="CX47" i="2"/>
  <c r="DF46" i="2"/>
  <c r="DE46" i="2"/>
  <c r="DD46" i="2"/>
  <c r="DC46" i="2"/>
  <c r="DB46" i="2"/>
  <c r="DA46" i="2"/>
  <c r="CZ46" i="2"/>
  <c r="CY46" i="2"/>
  <c r="CX46" i="2"/>
  <c r="CV46" i="2"/>
  <c r="CU53" i="2"/>
  <c r="CU52" i="2"/>
  <c r="CU51" i="2"/>
  <c r="CU50" i="2"/>
  <c r="CU49" i="2"/>
  <c r="CU48" i="2"/>
  <c r="F36" i="14"/>
  <c r="CJ27" i="2" s="1"/>
  <c r="CX27" i="2" s="1"/>
  <c r="Q21" i="14"/>
  <c r="R21" i="14" s="1"/>
  <c r="AD6" i="14"/>
  <c r="CB16" i="2"/>
  <c r="CA16" i="2"/>
  <c r="BZ16" i="2"/>
  <c r="BY16" i="2"/>
  <c r="BX16" i="2"/>
  <c r="BW16" i="2"/>
  <c r="BV16" i="2"/>
  <c r="BU16" i="2"/>
  <c r="BT16" i="2"/>
  <c r="BS16" i="2"/>
  <c r="BR16" i="2"/>
  <c r="BQ16" i="2"/>
  <c r="BQ10" i="2"/>
  <c r="BA4" i="2"/>
  <c r="BI49" i="2"/>
  <c r="AY57" i="2"/>
  <c r="AW57" i="2"/>
  <c r="AU57" i="2"/>
  <c r="AS57" i="2"/>
  <c r="AQ57" i="2"/>
  <c r="AO57" i="2"/>
  <c r="AM57" i="2"/>
  <c r="AK57" i="2"/>
  <c r="AI57" i="2"/>
  <c r="AG57" i="2"/>
  <c r="AE57" i="2"/>
  <c r="AC57" i="2"/>
  <c r="AZ60" i="2"/>
  <c r="BS33" i="2" l="1"/>
  <c r="BI30" i="2"/>
  <c r="BE25" i="2"/>
  <c r="BQ9" i="2"/>
  <c r="CA55" i="2"/>
  <c r="BE56" i="2"/>
  <c r="CC25" i="2"/>
  <c r="BE39" i="2"/>
  <c r="BE29" i="2"/>
  <c r="BE27" i="2"/>
  <c r="BE26" i="2"/>
  <c r="BF29" i="2" l="1"/>
  <c r="N36" i="14"/>
  <c r="CR27" i="2" s="1"/>
  <c r="DF27" i="2" s="1"/>
  <c r="L36" i="14"/>
  <c r="CP27" i="2" s="1"/>
  <c r="DD27" i="2" s="1"/>
  <c r="M36" i="14"/>
  <c r="CQ27" i="2" s="1"/>
  <c r="DE27" i="2" s="1"/>
  <c r="BF26" i="2"/>
  <c r="D36" i="14" l="1"/>
  <c r="CH27" i="2" s="1"/>
  <c r="CV27" i="2" s="1"/>
  <c r="C36" i="14"/>
  <c r="CG27" i="2" s="1"/>
  <c r="CU27" i="2" s="1"/>
  <c r="E36" i="14"/>
  <c r="CI27" i="2" s="1"/>
  <c r="CW27" i="2" s="1"/>
  <c r="CA57" i="2" l="1"/>
  <c r="CC57" i="2"/>
  <c r="CC56" i="2"/>
  <c r="CC55" i="2"/>
  <c r="CC54" i="2"/>
  <c r="CC53" i="2"/>
  <c r="CC52" i="2"/>
  <c r="CC51" i="2"/>
  <c r="CC50" i="2"/>
  <c r="CC49" i="2"/>
  <c r="CC48" i="2"/>
  <c r="CC47" i="2"/>
  <c r="CC46" i="2"/>
  <c r="CA56" i="2"/>
  <c r="CA54" i="2"/>
  <c r="CA53" i="2"/>
  <c r="CB53" i="2" s="1"/>
  <c r="CA52" i="2"/>
  <c r="CA51" i="2"/>
  <c r="CA50" i="2"/>
  <c r="CA49" i="2"/>
  <c r="CB49" i="2" s="1"/>
  <c r="CA48" i="2"/>
  <c r="CA47" i="2"/>
  <c r="CA46" i="2"/>
  <c r="BY53" i="2"/>
  <c r="BY57" i="2"/>
  <c r="BY56" i="2"/>
  <c r="BY55" i="2"/>
  <c r="BY54" i="2"/>
  <c r="BY52" i="2"/>
  <c r="BY51" i="2"/>
  <c r="BY50" i="2"/>
  <c r="BY49" i="2"/>
  <c r="BY48" i="2"/>
  <c r="BY47" i="2"/>
  <c r="BY46" i="2"/>
  <c r="BE55" i="2"/>
  <c r="CC45" i="2"/>
  <c r="CA45" i="2"/>
  <c r="CB45" i="2" s="1"/>
  <c r="BY45" i="2"/>
  <c r="CB55" i="2"/>
  <c r="CC44" i="2"/>
  <c r="BK49" i="2"/>
  <c r="BF56" i="2"/>
  <c r="BF55" i="2"/>
  <c r="BF45" i="2"/>
  <c r="BE53" i="2"/>
  <c r="BF53" i="2" s="1"/>
  <c r="BY44" i="2"/>
  <c r="BW57" i="2"/>
  <c r="BW56" i="2"/>
  <c r="BW55" i="2"/>
  <c r="BW54" i="2"/>
  <c r="BW53" i="2"/>
  <c r="BW52" i="2"/>
  <c r="BW51" i="2"/>
  <c r="BW50" i="2"/>
  <c r="BW49" i="2"/>
  <c r="BX49" i="2" s="1"/>
  <c r="BW48" i="2"/>
  <c r="BW47" i="2"/>
  <c r="BW46" i="2"/>
  <c r="BW45" i="2"/>
  <c r="BW44" i="2"/>
  <c r="BU57" i="2"/>
  <c r="BV57" i="2" s="1"/>
  <c r="BU56" i="2"/>
  <c r="BU55" i="2"/>
  <c r="BV55" i="2" s="1"/>
  <c r="BU54" i="2"/>
  <c r="BU53" i="2"/>
  <c r="BU52" i="2"/>
  <c r="BU51" i="2"/>
  <c r="BU50" i="2"/>
  <c r="BU49" i="2"/>
  <c r="BV49" i="2" s="1"/>
  <c r="BU48" i="2"/>
  <c r="BU47" i="2"/>
  <c r="BV47" i="2" s="1"/>
  <c r="BU46" i="2"/>
  <c r="BU45" i="2"/>
  <c r="BU44" i="2"/>
  <c r="BS57" i="2"/>
  <c r="BS56" i="2"/>
  <c r="BS55" i="2"/>
  <c r="BS54" i="2"/>
  <c r="BS53" i="2"/>
  <c r="BS52" i="2"/>
  <c r="BS51" i="2"/>
  <c r="BS50" i="2"/>
  <c r="BS49" i="2"/>
  <c r="BS48" i="2"/>
  <c r="BS47" i="2"/>
  <c r="BS46" i="2"/>
  <c r="BS45" i="2"/>
  <c r="BS44" i="2"/>
  <c r="BQ57" i="2"/>
  <c r="BQ56" i="2"/>
  <c r="BQ55" i="2"/>
  <c r="BQ54" i="2"/>
  <c r="BQ53" i="2"/>
  <c r="BQ52" i="2"/>
  <c r="BQ51" i="2"/>
  <c r="BQ50" i="2"/>
  <c r="BQ49" i="2"/>
  <c r="BQ48" i="2"/>
  <c r="BQ47" i="2"/>
  <c r="BQ46" i="2"/>
  <c r="BQ45" i="2"/>
  <c r="BQ44" i="2"/>
  <c r="BO57" i="2"/>
  <c r="BP57" i="2" s="1"/>
  <c r="BO56" i="2"/>
  <c r="BO55" i="2"/>
  <c r="BO54" i="2"/>
  <c r="BO53" i="2"/>
  <c r="BO52" i="2"/>
  <c r="BO51" i="2"/>
  <c r="BO50" i="2"/>
  <c r="BO49" i="2"/>
  <c r="BP49" i="2" s="1"/>
  <c r="BO48" i="2"/>
  <c r="BO47" i="2"/>
  <c r="BO46" i="2"/>
  <c r="BO45" i="2"/>
  <c r="BO44" i="2"/>
  <c r="BM57" i="2"/>
  <c r="BN57" i="2" s="1"/>
  <c r="BM56" i="2"/>
  <c r="BM55" i="2"/>
  <c r="BN55" i="2" s="1"/>
  <c r="BM54" i="2"/>
  <c r="BM53" i="2"/>
  <c r="BN53" i="2" s="1"/>
  <c r="BM52" i="2"/>
  <c r="BM51" i="2"/>
  <c r="BM50" i="2"/>
  <c r="BM49" i="2"/>
  <c r="BN49" i="2" s="1"/>
  <c r="BM48" i="2"/>
  <c r="BM47" i="2"/>
  <c r="BN47" i="2" s="1"/>
  <c r="BM46" i="2"/>
  <c r="BM45" i="2"/>
  <c r="BN45" i="2" s="1"/>
  <c r="BM44" i="2"/>
  <c r="BK57" i="2"/>
  <c r="BK56" i="2"/>
  <c r="BK55" i="2"/>
  <c r="BK54" i="2"/>
  <c r="BK53" i="2"/>
  <c r="BK52" i="2"/>
  <c r="BK51" i="2"/>
  <c r="BK50" i="2"/>
  <c r="BK48" i="2"/>
  <c r="BK47" i="2"/>
  <c r="BK46" i="2"/>
  <c r="BK45" i="2"/>
  <c r="BI57" i="2"/>
  <c r="BI56" i="2"/>
  <c r="BI55" i="2"/>
  <c r="BI54" i="2"/>
  <c r="BI53" i="2"/>
  <c r="BI52" i="2"/>
  <c r="BI51" i="2"/>
  <c r="BI50" i="2"/>
  <c r="BI48" i="2"/>
  <c r="BI47" i="2"/>
  <c r="BI46" i="2"/>
  <c r="BI45" i="2"/>
  <c r="BI44" i="2"/>
  <c r="BG57" i="2"/>
  <c r="BG56" i="2"/>
  <c r="BG55" i="2"/>
  <c r="BG54" i="2"/>
  <c r="BG53" i="2"/>
  <c r="BG52" i="2"/>
  <c r="BG51" i="2"/>
  <c r="BG50" i="2"/>
  <c r="BG49" i="2"/>
  <c r="BG48" i="2"/>
  <c r="BG47" i="2"/>
  <c r="BG46" i="2"/>
  <c r="BG45" i="2"/>
  <c r="BE57" i="2"/>
  <c r="BF57" i="2" s="1"/>
  <c r="BE54" i="2"/>
  <c r="BF54" i="2" s="1"/>
  <c r="BE52" i="2"/>
  <c r="BF52" i="2" s="1"/>
  <c r="BE51" i="2"/>
  <c r="BF51" i="2" s="1"/>
  <c r="BE50" i="2"/>
  <c r="BF50" i="2" s="1"/>
  <c r="BE49" i="2"/>
  <c r="BF49" i="2" s="1"/>
  <c r="BE48" i="2"/>
  <c r="BF48" i="2" s="1"/>
  <c r="BE47" i="2"/>
  <c r="BF47" i="2" s="1"/>
  <c r="BE46" i="2"/>
  <c r="BF46" i="2" s="1"/>
  <c r="BR44" i="2"/>
  <c r="CC31" i="2"/>
  <c r="CD31" i="2" s="1"/>
  <c r="CC39" i="2"/>
  <c r="CD39" i="2" s="1"/>
  <c r="CC38" i="2"/>
  <c r="CD38" i="2" s="1"/>
  <c r="CC37" i="2"/>
  <c r="CD37" i="2" s="1"/>
  <c r="CC36" i="2"/>
  <c r="CD36" i="2" s="1"/>
  <c r="CC35" i="2"/>
  <c r="CD35" i="2" s="1"/>
  <c r="CC34" i="2"/>
  <c r="CD34" i="2" s="1"/>
  <c r="CC33" i="2"/>
  <c r="CD33" i="2" s="1"/>
  <c r="CC32" i="2"/>
  <c r="CD32" i="2" s="1"/>
  <c r="CC30" i="2"/>
  <c r="CD30" i="2" s="1"/>
  <c r="CC29" i="2"/>
  <c r="CD29" i="2" s="1"/>
  <c r="CC27" i="2"/>
  <c r="CD27" i="2" s="1"/>
  <c r="CC26" i="2"/>
  <c r="CD26" i="2" s="1"/>
  <c r="CA39" i="2"/>
  <c r="CA38" i="2"/>
  <c r="CA37" i="2"/>
  <c r="CA36" i="2"/>
  <c r="CA35" i="2"/>
  <c r="CA34" i="2"/>
  <c r="CA33" i="2"/>
  <c r="CA32" i="2"/>
  <c r="CA31" i="2"/>
  <c r="CA30" i="2"/>
  <c r="CA29" i="2"/>
  <c r="CA27" i="2"/>
  <c r="CA26" i="2"/>
  <c r="BY39" i="2"/>
  <c r="BY38" i="2"/>
  <c r="BY37" i="2"/>
  <c r="BY36" i="2"/>
  <c r="BY35" i="2"/>
  <c r="BY34" i="2"/>
  <c r="BY33" i="2"/>
  <c r="BY32" i="2"/>
  <c r="BY31" i="2"/>
  <c r="BY30" i="2"/>
  <c r="BY29" i="2"/>
  <c r="BY27" i="2"/>
  <c r="BY26" i="2"/>
  <c r="BW39" i="2"/>
  <c r="BW38" i="2"/>
  <c r="BW37" i="2"/>
  <c r="BW36" i="2"/>
  <c r="BW35" i="2"/>
  <c r="BW34" i="2"/>
  <c r="BW33" i="2"/>
  <c r="BW32" i="2"/>
  <c r="BW31" i="2"/>
  <c r="BW30" i="2"/>
  <c r="BW29" i="2"/>
  <c r="BW27" i="2"/>
  <c r="BW26" i="2"/>
  <c r="BU39" i="2"/>
  <c r="BU38" i="2"/>
  <c r="BU37" i="2"/>
  <c r="BU36" i="2"/>
  <c r="BU35" i="2"/>
  <c r="BU34" i="2"/>
  <c r="BU33" i="2"/>
  <c r="BU32" i="2"/>
  <c r="BU31" i="2"/>
  <c r="BU30" i="2"/>
  <c r="BU29" i="2"/>
  <c r="BU27" i="2"/>
  <c r="BU26" i="2"/>
  <c r="BS39" i="2"/>
  <c r="BS38" i="2"/>
  <c r="BS37" i="2"/>
  <c r="BS36" i="2"/>
  <c r="BS35" i="2"/>
  <c r="BS34" i="2"/>
  <c r="BS32" i="2"/>
  <c r="BS31" i="2"/>
  <c r="BS30" i="2"/>
  <c r="BS29" i="2"/>
  <c r="BS27" i="2"/>
  <c r="BS26" i="2"/>
  <c r="BQ39" i="2"/>
  <c r="BQ38" i="2"/>
  <c r="BQ37" i="2"/>
  <c r="BQ36" i="2"/>
  <c r="BQ35" i="2"/>
  <c r="BQ34" i="2"/>
  <c r="BQ33" i="2"/>
  <c r="BQ32" i="2"/>
  <c r="BQ31" i="2"/>
  <c r="BQ30" i="2"/>
  <c r="BQ29" i="2"/>
  <c r="BQ27" i="2"/>
  <c r="BQ26" i="2"/>
  <c r="BO39" i="2"/>
  <c r="BO38" i="2"/>
  <c r="BO37" i="2"/>
  <c r="BO36" i="2"/>
  <c r="BO35" i="2"/>
  <c r="BO34" i="2"/>
  <c r="BO33" i="2"/>
  <c r="BO32" i="2"/>
  <c r="BO31" i="2"/>
  <c r="BO30" i="2"/>
  <c r="BO29" i="2"/>
  <c r="BO27" i="2"/>
  <c r="BO26" i="2"/>
  <c r="BM39" i="2"/>
  <c r="BM38" i="2"/>
  <c r="BM37" i="2"/>
  <c r="BM36" i="2"/>
  <c r="BM35" i="2"/>
  <c r="BM34" i="2"/>
  <c r="BM33" i="2"/>
  <c r="BM32" i="2"/>
  <c r="BM31" i="2"/>
  <c r="BM30" i="2"/>
  <c r="BM29" i="2"/>
  <c r="BM27" i="2"/>
  <c r="BM26" i="2"/>
  <c r="BK39" i="2"/>
  <c r="BK38" i="2"/>
  <c r="BK37" i="2"/>
  <c r="BK36" i="2"/>
  <c r="BK35" i="2"/>
  <c r="BK34" i="2"/>
  <c r="BK33" i="2"/>
  <c r="BK32" i="2"/>
  <c r="BK31" i="2"/>
  <c r="BK30" i="2"/>
  <c r="BK29" i="2"/>
  <c r="BK27" i="2"/>
  <c r="BK26" i="2"/>
  <c r="BI39" i="2"/>
  <c r="BI38" i="2"/>
  <c r="BI37" i="2"/>
  <c r="BI36" i="2"/>
  <c r="BI35" i="2"/>
  <c r="BI34" i="2"/>
  <c r="BI33" i="2"/>
  <c r="BI32" i="2"/>
  <c r="BI31" i="2"/>
  <c r="BI29" i="2"/>
  <c r="BI27" i="2"/>
  <c r="BI26" i="2"/>
  <c r="BG39" i="2"/>
  <c r="BG38" i="2"/>
  <c r="BG37" i="2"/>
  <c r="BG36" i="2"/>
  <c r="BG35" i="2"/>
  <c r="BG34" i="2"/>
  <c r="BG33" i="2"/>
  <c r="BG32" i="2"/>
  <c r="BG31" i="2"/>
  <c r="BG30" i="2"/>
  <c r="BG29" i="2"/>
  <c r="BG27" i="2"/>
  <c r="BG26" i="2"/>
  <c r="BF39" i="2"/>
  <c r="BE38" i="2"/>
  <c r="BF38" i="2" s="1"/>
  <c r="BE37" i="2"/>
  <c r="BF37" i="2" s="1"/>
  <c r="BE36" i="2"/>
  <c r="BF36" i="2" s="1"/>
  <c r="BE35" i="2"/>
  <c r="BF35" i="2" s="1"/>
  <c r="BE34" i="2"/>
  <c r="BF34" i="2" s="1"/>
  <c r="BE33" i="2"/>
  <c r="BF33" i="2" s="1"/>
  <c r="BE32" i="2"/>
  <c r="BF32" i="2" s="1"/>
  <c r="BE31" i="2"/>
  <c r="BF31" i="2" s="1"/>
  <c r="BE30" i="2"/>
  <c r="BF30" i="2" s="1"/>
  <c r="BF27" i="2"/>
  <c r="CA25" i="2"/>
  <c r="BY25" i="2"/>
  <c r="BW25" i="2"/>
  <c r="BU25" i="2"/>
  <c r="BS25" i="2"/>
  <c r="BQ25" i="2"/>
  <c r="BO25" i="2"/>
  <c r="BM25" i="2"/>
  <c r="BK25" i="2"/>
  <c r="BI25" i="2"/>
  <c r="BR25" i="2"/>
  <c r="BN25" i="2"/>
  <c r="BL25" i="2"/>
  <c r="CA15" i="2"/>
  <c r="BZ15" i="2"/>
  <c r="BY15" i="2"/>
  <c r="BX15" i="2"/>
  <c r="BW15" i="2"/>
  <c r="BV15" i="2"/>
  <c r="BU15" i="2"/>
  <c r="BT15" i="2"/>
  <c r="BS15" i="2"/>
  <c r="CA14" i="2"/>
  <c r="BZ14" i="2"/>
  <c r="BY14" i="2"/>
  <c r="BX14" i="2"/>
  <c r="BW14" i="2"/>
  <c r="BV14" i="2"/>
  <c r="BU14" i="2"/>
  <c r="BT14" i="2"/>
  <c r="BS14" i="2"/>
  <c r="CA13" i="2"/>
  <c r="BZ13" i="2"/>
  <c r="BY13" i="2"/>
  <c r="BX13" i="2"/>
  <c r="BW13" i="2"/>
  <c r="BV13" i="2"/>
  <c r="BU13" i="2"/>
  <c r="BT13" i="2"/>
  <c r="BS13" i="2"/>
  <c r="CA12" i="2"/>
  <c r="BZ12" i="2"/>
  <c r="BY12" i="2"/>
  <c r="BX12" i="2"/>
  <c r="BW12" i="2"/>
  <c r="BV12" i="2"/>
  <c r="BU12" i="2"/>
  <c r="BT12" i="2"/>
  <c r="BS12" i="2"/>
  <c r="CA10" i="2"/>
  <c r="BZ10" i="2"/>
  <c r="BY10" i="2"/>
  <c r="BX10" i="2"/>
  <c r="BW10" i="2"/>
  <c r="BV10" i="2"/>
  <c r="BU10" i="2"/>
  <c r="BT10" i="2"/>
  <c r="BS10" i="2"/>
  <c r="CA9" i="2"/>
  <c r="BZ9" i="2"/>
  <c r="BY9" i="2"/>
  <c r="BX9" i="2"/>
  <c r="BW9" i="2"/>
  <c r="BV9" i="2"/>
  <c r="BU9" i="2"/>
  <c r="BT9" i="2"/>
  <c r="BS9" i="2"/>
  <c r="CA8" i="2"/>
  <c r="BZ8" i="2"/>
  <c r="BY8" i="2"/>
  <c r="BX8" i="2"/>
  <c r="BW8" i="2"/>
  <c r="BV8" i="2"/>
  <c r="BU8" i="2"/>
  <c r="BT8" i="2"/>
  <c r="BS8" i="2"/>
  <c r="BR8" i="2"/>
  <c r="BR15" i="2"/>
  <c r="BR14" i="2"/>
  <c r="BR13" i="2"/>
  <c r="BR12" i="2"/>
  <c r="BR10" i="2"/>
  <c r="BR9" i="2"/>
  <c r="BQ15" i="2"/>
  <c r="BQ14" i="2"/>
  <c r="BQ13" i="2"/>
  <c r="BQ12" i="2"/>
  <c r="BQ8" i="2"/>
  <c r="BV45" i="2" l="1"/>
  <c r="BT45" i="2"/>
  <c r="BT47" i="2"/>
  <c r="BT55" i="2"/>
  <c r="BT53" i="2"/>
  <c r="BT49" i="2"/>
  <c r="BP51" i="2"/>
  <c r="BN51" i="2"/>
  <c r="BV51" i="2"/>
  <c r="BT57" i="2"/>
  <c r="BT51" i="2"/>
  <c r="BR51" i="2"/>
  <c r="BX51" i="2"/>
  <c r="CD57" i="2"/>
  <c r="BR45" i="2"/>
  <c r="BP45" i="2"/>
  <c r="BP53" i="2"/>
  <c r="BR47" i="2"/>
  <c r="BR55" i="2"/>
  <c r="BX45" i="2"/>
  <c r="BX53" i="2"/>
  <c r="BP47" i="2"/>
  <c r="BP55" i="2"/>
  <c r="BR49" i="2"/>
  <c r="BR57" i="2"/>
  <c r="BV53" i="2"/>
  <c r="BX47" i="2"/>
  <c r="BR53" i="2"/>
  <c r="BX55" i="2"/>
  <c r="BX57" i="2"/>
  <c r="CB47" i="2"/>
  <c r="CB51" i="2"/>
  <c r="BZ45" i="2"/>
  <c r="BZ57" i="2"/>
  <c r="CB46" i="2"/>
  <c r="CB48" i="2"/>
  <c r="CB50" i="2"/>
  <c r="CB52" i="2"/>
  <c r="CB54" i="2"/>
  <c r="CB57" i="2"/>
  <c r="BJ45" i="2"/>
  <c r="BJ47" i="2"/>
  <c r="BJ49" i="2"/>
  <c r="BJ51" i="2"/>
  <c r="BJ53" i="2"/>
  <c r="BJ55" i="2"/>
  <c r="BJ57" i="2"/>
  <c r="BN46" i="2"/>
  <c r="BN48" i="2"/>
  <c r="BN50" i="2"/>
  <c r="BN52" i="2"/>
  <c r="BN54" i="2"/>
  <c r="BN56" i="2"/>
  <c r="BP46" i="2"/>
  <c r="BP48" i="2"/>
  <c r="BP50" i="2"/>
  <c r="BP52" i="2"/>
  <c r="BP54" i="2"/>
  <c r="BP56" i="2"/>
  <c r="BR46" i="2"/>
  <c r="BR48" i="2"/>
  <c r="BR50" i="2"/>
  <c r="BR52" i="2"/>
  <c r="BR54" i="2"/>
  <c r="BR56" i="2"/>
  <c r="BT46" i="2"/>
  <c r="BT48" i="2"/>
  <c r="BT50" i="2"/>
  <c r="BT52" i="2"/>
  <c r="BT54" i="2"/>
  <c r="BT56" i="2"/>
  <c r="BV46" i="2"/>
  <c r="BV48" i="2"/>
  <c r="BV50" i="2"/>
  <c r="BV52" i="2"/>
  <c r="BV54" i="2"/>
  <c r="BV56" i="2"/>
  <c r="BX46" i="2"/>
  <c r="BX48" i="2"/>
  <c r="BX50" i="2"/>
  <c r="BX52" i="2"/>
  <c r="BX54" i="2"/>
  <c r="BX56" i="2"/>
  <c r="BZ55" i="2"/>
  <c r="CB56" i="2"/>
  <c r="CD47" i="2"/>
  <c r="CD49" i="2"/>
  <c r="CD51" i="2"/>
  <c r="CD53" i="2"/>
  <c r="CD55" i="2"/>
  <c r="BJ46" i="2"/>
  <c r="BJ48" i="2"/>
  <c r="BJ50" i="2"/>
  <c r="BJ52" i="2"/>
  <c r="BJ54" i="2"/>
  <c r="BJ56" i="2"/>
  <c r="CD45" i="2"/>
  <c r="CD46" i="2"/>
  <c r="CD48" i="2"/>
  <c r="CD50" i="2"/>
  <c r="CD52" i="2"/>
  <c r="CD54" i="2"/>
  <c r="CD56" i="2"/>
  <c r="BZ47" i="2"/>
  <c r="BZ49" i="2"/>
  <c r="BZ53" i="2"/>
  <c r="BZ54" i="2"/>
  <c r="BZ56" i="2"/>
  <c r="BZ46" i="2"/>
  <c r="BZ48" i="2"/>
  <c r="BZ51" i="2"/>
  <c r="BZ50" i="2"/>
  <c r="BZ52" i="2"/>
  <c r="CB27" i="2"/>
  <c r="CB30" i="2"/>
  <c r="CB32" i="2"/>
  <c r="CB34" i="2"/>
  <c r="CB36" i="2"/>
  <c r="CB38" i="2"/>
  <c r="CB26" i="2"/>
  <c r="CB29" i="2"/>
  <c r="CB31" i="2"/>
  <c r="CB33" i="2"/>
  <c r="CB35" i="2"/>
  <c r="CB37" i="2"/>
  <c r="CB39" i="2"/>
  <c r="BN26" i="2"/>
  <c r="BN29" i="2"/>
  <c r="BN31" i="2"/>
  <c r="BN33" i="2"/>
  <c r="BN35" i="2"/>
  <c r="BN37" i="2"/>
  <c r="BN39" i="2"/>
  <c r="BP27" i="2"/>
  <c r="BP30" i="2"/>
  <c r="BP32" i="2"/>
  <c r="BP34" i="2"/>
  <c r="BP36" i="2"/>
  <c r="BP38" i="2"/>
  <c r="BR26" i="2"/>
  <c r="BR29" i="2"/>
  <c r="BR31" i="2"/>
  <c r="BR33" i="2"/>
  <c r="BR35" i="2"/>
  <c r="BR37" i="2"/>
  <c r="BR39" i="2"/>
  <c r="BT27" i="2"/>
  <c r="BT30" i="2"/>
  <c r="BT32" i="2"/>
  <c r="BT34" i="2"/>
  <c r="BT36" i="2"/>
  <c r="BT38" i="2"/>
  <c r="BV26" i="2"/>
  <c r="BV29" i="2"/>
  <c r="BV31" i="2"/>
  <c r="BV33" i="2"/>
  <c r="BV35" i="2"/>
  <c r="BV37" i="2"/>
  <c r="BV39" i="2"/>
  <c r="BX27" i="2"/>
  <c r="BX30" i="2"/>
  <c r="BX32" i="2"/>
  <c r="BX34" i="2"/>
  <c r="BX36" i="2"/>
  <c r="BX38" i="2"/>
  <c r="BZ26" i="2"/>
  <c r="BZ29" i="2"/>
  <c r="BZ31" i="2"/>
  <c r="BZ33" i="2"/>
  <c r="BZ35" i="2"/>
  <c r="BZ37" i="2"/>
  <c r="BZ39" i="2"/>
  <c r="BN27" i="2"/>
  <c r="BN30" i="2"/>
  <c r="BN32" i="2"/>
  <c r="BN34" i="2"/>
  <c r="BN36" i="2"/>
  <c r="BN38" i="2"/>
  <c r="BP26" i="2"/>
  <c r="BP29" i="2"/>
  <c r="BP31" i="2"/>
  <c r="BP33" i="2"/>
  <c r="BP35" i="2"/>
  <c r="BP37" i="2"/>
  <c r="BP39" i="2"/>
  <c r="BR27" i="2"/>
  <c r="BR30" i="2"/>
  <c r="BR32" i="2"/>
  <c r="BR34" i="2"/>
  <c r="BR36" i="2"/>
  <c r="BR38" i="2"/>
  <c r="BT26" i="2"/>
  <c r="BT29" i="2"/>
  <c r="BT31" i="2"/>
  <c r="BT33" i="2"/>
  <c r="BT35" i="2"/>
  <c r="BT37" i="2"/>
  <c r="BT39" i="2"/>
  <c r="BV27" i="2"/>
  <c r="BV30" i="2"/>
  <c r="BV32" i="2"/>
  <c r="BV34" i="2"/>
  <c r="BV36" i="2"/>
  <c r="BV38" i="2"/>
  <c r="BX26" i="2"/>
  <c r="BX29" i="2"/>
  <c r="BX31" i="2"/>
  <c r="BX33" i="2"/>
  <c r="BX35" i="2"/>
  <c r="BX37" i="2"/>
  <c r="BX39" i="2"/>
  <c r="BZ27" i="2"/>
  <c r="BZ30" i="2"/>
  <c r="BZ32" i="2"/>
  <c r="BZ34" i="2"/>
  <c r="BZ36" i="2"/>
  <c r="BZ38" i="2"/>
  <c r="BH27" i="2"/>
  <c r="BH30" i="2"/>
  <c r="BH32" i="2"/>
  <c r="BH34" i="2"/>
  <c r="BH36" i="2"/>
  <c r="BH38" i="2"/>
  <c r="BJ26" i="2"/>
  <c r="BJ29" i="2"/>
  <c r="BJ31" i="2"/>
  <c r="BJ33" i="2"/>
  <c r="BJ35" i="2"/>
  <c r="BJ37" i="2"/>
  <c r="BJ39" i="2"/>
  <c r="BL27" i="2"/>
  <c r="BL30" i="2"/>
  <c r="BL32" i="2"/>
  <c r="BL34" i="2"/>
  <c r="BL36" i="2"/>
  <c r="BL38" i="2"/>
  <c r="BH33" i="2"/>
  <c r="BH26" i="2"/>
  <c r="BH29" i="2"/>
  <c r="BH31" i="2"/>
  <c r="BH35" i="2"/>
  <c r="BH37" i="2"/>
  <c r="BH39" i="2"/>
  <c r="BJ27" i="2"/>
  <c r="BJ30" i="2"/>
  <c r="BJ32" i="2"/>
  <c r="BJ34" i="2"/>
  <c r="BJ36" i="2"/>
  <c r="BJ38" i="2"/>
  <c r="BL26" i="2"/>
  <c r="BL29" i="2"/>
  <c r="BL31" i="2"/>
  <c r="BL33" i="2"/>
  <c r="BL35" i="2"/>
  <c r="BL37" i="2"/>
  <c r="BL39" i="2"/>
  <c r="H27" i="5" l="1"/>
  <c r="G27" i="5"/>
  <c r="M39" i="6"/>
  <c r="L39" i="6"/>
  <c r="K39" i="6"/>
  <c r="J39" i="6"/>
  <c r="I39" i="6"/>
  <c r="H39" i="6"/>
  <c r="G39" i="6"/>
  <c r="E39" i="6"/>
  <c r="D39" i="6"/>
  <c r="C39" i="6"/>
  <c r="G11" i="4"/>
  <c r="T72" i="4" l="1"/>
  <c r="D27" i="5"/>
  <c r="I27" i="5"/>
  <c r="B27" i="5"/>
  <c r="C27" i="5"/>
  <c r="F27" i="5"/>
  <c r="E27" i="5"/>
  <c r="B40" i="6"/>
  <c r="AF3" i="17"/>
  <c r="AH3" i="17" s="1"/>
  <c r="K11" i="4"/>
  <c r="F40" i="6" s="1"/>
  <c r="AF7" i="17"/>
  <c r="M11" i="4"/>
  <c r="H40" i="6" s="1"/>
  <c r="AF9" i="17"/>
  <c r="O11" i="4"/>
  <c r="J40" i="6" s="1"/>
  <c r="AF11" i="17"/>
  <c r="H11" i="4"/>
  <c r="C40" i="6" s="1"/>
  <c r="AF4" i="17"/>
  <c r="AH4" i="17" s="1"/>
  <c r="J11" i="4"/>
  <c r="E40" i="6" s="1"/>
  <c r="AF6" i="17"/>
  <c r="AH6" i="17" s="1"/>
  <c r="L11" i="4"/>
  <c r="G40" i="6" s="1"/>
  <c r="AF8" i="17"/>
  <c r="N11" i="4"/>
  <c r="I40" i="6" s="1"/>
  <c r="AF10" i="17"/>
  <c r="P11" i="4"/>
  <c r="K40" i="6" s="1"/>
  <c r="AF12" i="17"/>
  <c r="R11" i="4"/>
  <c r="M40" i="6" s="1"/>
  <c r="AF14" i="17"/>
  <c r="I11" i="4"/>
  <c r="D40" i="6" s="1"/>
  <c r="AF5" i="17"/>
  <c r="AH5" i="17" s="1"/>
  <c r="Q11" i="4"/>
  <c r="L40" i="6" s="1"/>
  <c r="AF13" i="17"/>
  <c r="E46" i="6" l="1"/>
  <c r="J37" i="4" s="1"/>
  <c r="C46" i="6"/>
  <c r="H37" i="4" s="1"/>
  <c r="F48" i="6"/>
  <c r="D46" i="6"/>
  <c r="I37" i="4" s="1"/>
  <c r="B46" i="6"/>
  <c r="G37" i="4" s="1"/>
  <c r="J47" i="6"/>
  <c r="J48" i="6"/>
  <c r="H47" i="6"/>
  <c r="H48" i="6"/>
  <c r="L47" i="6"/>
  <c r="L48" i="6"/>
  <c r="M47" i="6"/>
  <c r="M48" i="6"/>
  <c r="K47" i="6"/>
  <c r="K48" i="6"/>
  <c r="I47" i="6"/>
  <c r="I48" i="6"/>
  <c r="G47" i="6"/>
  <c r="G48" i="6"/>
  <c r="F47" i="6"/>
  <c r="F44" i="6"/>
  <c r="J44" i="6"/>
  <c r="G44" i="6"/>
  <c r="K44" i="6"/>
  <c r="H44" i="6"/>
  <c r="M44" i="6"/>
  <c r="L44" i="6"/>
  <c r="I44" i="6"/>
  <c r="P44" i="6"/>
  <c r="B45" i="6"/>
  <c r="G36" i="4" s="1"/>
  <c r="C44" i="6"/>
  <c r="C49" i="6" s="1"/>
  <c r="H35" i="4" s="1"/>
  <c r="C45" i="6"/>
  <c r="H36" i="4" s="1"/>
  <c r="D44" i="6"/>
  <c r="D45" i="6"/>
  <c r="I36" i="4" s="1"/>
  <c r="E44" i="6"/>
  <c r="E49" i="6" s="1"/>
  <c r="J35" i="4" s="1"/>
  <c r="E45" i="6"/>
  <c r="J36" i="4" s="1"/>
  <c r="B48" i="6"/>
  <c r="B44" i="6"/>
  <c r="B49" i="6" s="1"/>
  <c r="C47" i="6"/>
  <c r="C48" i="6"/>
  <c r="D47" i="6"/>
  <c r="D48" i="6"/>
  <c r="E48" i="6"/>
  <c r="E47" i="6"/>
  <c r="B47" i="6"/>
  <c r="AJ14" i="17"/>
  <c r="AI13" i="17"/>
  <c r="AJ6" i="17"/>
  <c r="AI5" i="17"/>
  <c r="AI8" i="17"/>
  <c r="AJ9" i="17"/>
  <c r="AI9" i="17"/>
  <c r="AJ10" i="17"/>
  <c r="AI14" i="17"/>
  <c r="AJ7" i="17"/>
  <c r="AI6" i="17"/>
  <c r="AI7" i="17"/>
  <c r="AJ8" i="17"/>
  <c r="AI12" i="17"/>
  <c r="AJ13" i="17"/>
  <c r="AI4" i="17"/>
  <c r="AJ5" i="17"/>
  <c r="AJ4" i="17"/>
  <c r="AI3" i="17"/>
  <c r="AI11" i="17"/>
  <c r="AJ12" i="17"/>
  <c r="AI10" i="17"/>
  <c r="AJ11" i="17"/>
  <c r="AF2" i="17"/>
  <c r="C2" i="17"/>
  <c r="C334" i="17"/>
  <c r="C332" i="17"/>
  <c r="C330" i="17"/>
  <c r="C328" i="17"/>
  <c r="C326" i="17"/>
  <c r="C324" i="17"/>
  <c r="C322" i="17"/>
  <c r="C320" i="17"/>
  <c r="C318" i="17"/>
  <c r="C316" i="17"/>
  <c r="C314" i="17"/>
  <c r="C312" i="17"/>
  <c r="C310" i="17"/>
  <c r="C308" i="17"/>
  <c r="C306" i="17"/>
  <c r="C335" i="17"/>
  <c r="C333" i="17"/>
  <c r="C331" i="17"/>
  <c r="C329" i="17"/>
  <c r="C327" i="17"/>
  <c r="C325" i="17"/>
  <c r="C323" i="17"/>
  <c r="C321" i="17"/>
  <c r="C319" i="17"/>
  <c r="C317" i="17"/>
  <c r="C315" i="17"/>
  <c r="C313" i="17"/>
  <c r="C311" i="17"/>
  <c r="C309" i="17"/>
  <c r="C307" i="17"/>
  <c r="C62" i="17"/>
  <c r="C64" i="17"/>
  <c r="C66" i="17"/>
  <c r="C68" i="17"/>
  <c r="C70" i="17"/>
  <c r="C72" i="17"/>
  <c r="C74" i="17"/>
  <c r="C76" i="17"/>
  <c r="C78" i="17"/>
  <c r="C80" i="17"/>
  <c r="C82" i="17"/>
  <c r="C84" i="17"/>
  <c r="C86" i="17"/>
  <c r="C88" i="17"/>
  <c r="C90" i="17"/>
  <c r="C61" i="17"/>
  <c r="C63" i="17"/>
  <c r="C65" i="17"/>
  <c r="C67" i="17"/>
  <c r="C69" i="17"/>
  <c r="C71" i="17"/>
  <c r="C73" i="17"/>
  <c r="C75" i="17"/>
  <c r="C77" i="17"/>
  <c r="C79" i="17"/>
  <c r="C81" i="17"/>
  <c r="C83" i="17"/>
  <c r="C85" i="17"/>
  <c r="C87" i="17"/>
  <c r="C89" i="17"/>
  <c r="C91" i="17"/>
  <c r="C366" i="17"/>
  <c r="C364" i="17"/>
  <c r="C362" i="17"/>
  <c r="C360" i="17"/>
  <c r="C358" i="17"/>
  <c r="C356" i="17"/>
  <c r="C354" i="17"/>
  <c r="C352" i="17"/>
  <c r="C350" i="17"/>
  <c r="C348" i="17"/>
  <c r="C346" i="17"/>
  <c r="C344" i="17"/>
  <c r="C342" i="17"/>
  <c r="C340" i="17"/>
  <c r="C338" i="17"/>
  <c r="C336" i="17"/>
  <c r="C365" i="17"/>
  <c r="C363" i="17"/>
  <c r="C361" i="17"/>
  <c r="C359" i="17"/>
  <c r="C357" i="17"/>
  <c r="C355" i="17"/>
  <c r="C353" i="17"/>
  <c r="C351" i="17"/>
  <c r="C349" i="17"/>
  <c r="C347" i="17"/>
  <c r="C345" i="17"/>
  <c r="C343" i="17"/>
  <c r="C341" i="17"/>
  <c r="C339" i="17"/>
  <c r="C337" i="17"/>
  <c r="C304" i="17"/>
  <c r="C302" i="17"/>
  <c r="C300" i="17"/>
  <c r="C298" i="17"/>
  <c r="C296" i="17"/>
  <c r="C294" i="17"/>
  <c r="C292" i="17"/>
  <c r="C290" i="17"/>
  <c r="C288" i="17"/>
  <c r="C286" i="17"/>
  <c r="C284" i="17"/>
  <c r="C282" i="17"/>
  <c r="C280" i="17"/>
  <c r="C278" i="17"/>
  <c r="C276" i="17"/>
  <c r="C305" i="17"/>
  <c r="C303" i="17"/>
  <c r="C301" i="17"/>
  <c r="C299" i="17"/>
  <c r="C297" i="17"/>
  <c r="C295" i="17"/>
  <c r="C293" i="17"/>
  <c r="C291" i="17"/>
  <c r="C289" i="17"/>
  <c r="C287" i="17"/>
  <c r="C285" i="17"/>
  <c r="C283" i="17"/>
  <c r="C281" i="17"/>
  <c r="C279" i="17"/>
  <c r="C277" i="17"/>
  <c r="C275" i="17"/>
  <c r="C215" i="17"/>
  <c r="C217" i="17"/>
  <c r="C219" i="17"/>
  <c r="C221" i="17"/>
  <c r="C223" i="17"/>
  <c r="C225" i="17"/>
  <c r="C227" i="17"/>
  <c r="C229" i="17"/>
  <c r="C231" i="17"/>
  <c r="C233" i="17"/>
  <c r="C235" i="17"/>
  <c r="C237" i="17"/>
  <c r="C239" i="17"/>
  <c r="C241" i="17"/>
  <c r="C243" i="17"/>
  <c r="C214" i="17"/>
  <c r="C216" i="17"/>
  <c r="C218" i="17"/>
  <c r="C220" i="17"/>
  <c r="C222" i="17"/>
  <c r="C224" i="17"/>
  <c r="C226" i="17"/>
  <c r="C228" i="17"/>
  <c r="C230" i="17"/>
  <c r="C232" i="17"/>
  <c r="C234" i="17"/>
  <c r="C236" i="17"/>
  <c r="C238" i="17"/>
  <c r="C240" i="17"/>
  <c r="C242" i="17"/>
  <c r="C244" i="17"/>
  <c r="C92" i="17"/>
  <c r="C94" i="17"/>
  <c r="C96" i="17"/>
  <c r="C98" i="17"/>
  <c r="C100" i="17"/>
  <c r="C102" i="17"/>
  <c r="C104" i="17"/>
  <c r="C106" i="17"/>
  <c r="C108" i="17"/>
  <c r="C110" i="17"/>
  <c r="C113" i="17"/>
  <c r="C115" i="17"/>
  <c r="C117" i="17"/>
  <c r="C119" i="17"/>
  <c r="C121" i="17"/>
  <c r="C93" i="17"/>
  <c r="C95" i="17"/>
  <c r="C97" i="17"/>
  <c r="C99" i="17"/>
  <c r="C101" i="17"/>
  <c r="C103" i="17"/>
  <c r="C105" i="17"/>
  <c r="C107" i="17"/>
  <c r="C109" i="17"/>
  <c r="C111" i="17"/>
  <c r="C112" i="17"/>
  <c r="C114" i="17"/>
  <c r="C116" i="17"/>
  <c r="C118" i="17"/>
  <c r="C120" i="17"/>
  <c r="C34" i="17"/>
  <c r="C36" i="17"/>
  <c r="C38" i="17"/>
  <c r="C40" i="17"/>
  <c r="C42" i="17"/>
  <c r="C44" i="17"/>
  <c r="C46" i="17"/>
  <c r="C48" i="17"/>
  <c r="C50" i="17"/>
  <c r="C52" i="17"/>
  <c r="C54" i="17"/>
  <c r="C56" i="17"/>
  <c r="C58" i="17"/>
  <c r="C60" i="17"/>
  <c r="C33" i="17"/>
  <c r="C35" i="17"/>
  <c r="C37" i="17"/>
  <c r="C39" i="17"/>
  <c r="C41" i="17"/>
  <c r="C43" i="17"/>
  <c r="C45" i="17"/>
  <c r="C47" i="17"/>
  <c r="C49" i="17"/>
  <c r="C51" i="17"/>
  <c r="C53" i="17"/>
  <c r="C55" i="17"/>
  <c r="C57" i="17"/>
  <c r="C59" i="17"/>
  <c r="C274" i="17"/>
  <c r="C272" i="17"/>
  <c r="C270" i="17"/>
  <c r="C245" i="17"/>
  <c r="C247" i="17"/>
  <c r="C249" i="17"/>
  <c r="C251" i="17"/>
  <c r="C253" i="17"/>
  <c r="C255" i="17"/>
  <c r="C257" i="17"/>
  <c r="C259" i="17"/>
  <c r="C261" i="17"/>
  <c r="C263" i="17"/>
  <c r="C265" i="17"/>
  <c r="C267" i="17"/>
  <c r="C269" i="17"/>
  <c r="C273" i="17"/>
  <c r="C271" i="17"/>
  <c r="C246" i="17"/>
  <c r="C248" i="17"/>
  <c r="C250" i="17"/>
  <c r="C252" i="17"/>
  <c r="C254" i="17"/>
  <c r="C256" i="17"/>
  <c r="C258" i="17"/>
  <c r="C260" i="17"/>
  <c r="C262" i="17"/>
  <c r="C264" i="17"/>
  <c r="C266" i="17"/>
  <c r="C268" i="17"/>
  <c r="C183" i="17"/>
  <c r="C185" i="17"/>
  <c r="C187" i="17"/>
  <c r="C189" i="17"/>
  <c r="C191" i="17"/>
  <c r="C193" i="17"/>
  <c r="C195" i="17"/>
  <c r="C197" i="17"/>
  <c r="C199" i="17"/>
  <c r="C201" i="17"/>
  <c r="C203" i="17"/>
  <c r="C205" i="17"/>
  <c r="C207" i="17"/>
  <c r="C209" i="17"/>
  <c r="C211" i="17"/>
  <c r="C213" i="17"/>
  <c r="C184" i="17"/>
  <c r="C186" i="17"/>
  <c r="C188" i="17"/>
  <c r="C190" i="17"/>
  <c r="C192" i="17"/>
  <c r="C194" i="17"/>
  <c r="C196" i="17"/>
  <c r="C198" i="17"/>
  <c r="C200" i="17"/>
  <c r="C202" i="17"/>
  <c r="C204" i="17"/>
  <c r="C206" i="17"/>
  <c r="C208" i="17"/>
  <c r="C210" i="17"/>
  <c r="C212" i="17"/>
  <c r="C123" i="17"/>
  <c r="C125" i="17"/>
  <c r="C127" i="17"/>
  <c r="C129" i="17"/>
  <c r="C131" i="17"/>
  <c r="C133" i="17"/>
  <c r="C135" i="17"/>
  <c r="C137" i="17"/>
  <c r="C139" i="17"/>
  <c r="C141" i="17"/>
  <c r="C143" i="17"/>
  <c r="C145" i="17"/>
  <c r="C147" i="17"/>
  <c r="C149" i="17"/>
  <c r="C151" i="17"/>
  <c r="C122" i="17"/>
  <c r="C124" i="17"/>
  <c r="C126" i="17"/>
  <c r="C128" i="17"/>
  <c r="C130" i="17"/>
  <c r="C132" i="17"/>
  <c r="C134" i="17"/>
  <c r="C136" i="17"/>
  <c r="C138" i="17"/>
  <c r="C140" i="17"/>
  <c r="C142" i="17"/>
  <c r="C144" i="17"/>
  <c r="C146" i="17"/>
  <c r="C148" i="17"/>
  <c r="C150" i="17"/>
  <c r="C152" i="17"/>
  <c r="C17" i="17"/>
  <c r="C19" i="17"/>
  <c r="C21" i="17"/>
  <c r="C23" i="17"/>
  <c r="C25" i="17"/>
  <c r="C27" i="17"/>
  <c r="C11" i="17"/>
  <c r="C5" i="17"/>
  <c r="C9" i="17"/>
  <c r="C6" i="17"/>
  <c r="C12" i="17"/>
  <c r="C15" i="17"/>
  <c r="C30" i="17"/>
  <c r="C32" i="17"/>
  <c r="C16" i="17"/>
  <c r="C18" i="17"/>
  <c r="C20" i="17"/>
  <c r="C22" i="17"/>
  <c r="C24" i="17"/>
  <c r="C26" i="17"/>
  <c r="C28" i="17"/>
  <c r="C14" i="17"/>
  <c r="C3" i="17"/>
  <c r="C7" i="17"/>
  <c r="C4" i="17"/>
  <c r="C8" i="17"/>
  <c r="C10" i="17"/>
  <c r="C13" i="17"/>
  <c r="C29" i="17"/>
  <c r="C31" i="17"/>
  <c r="C153" i="17"/>
  <c r="C155" i="17"/>
  <c r="C157" i="17"/>
  <c r="C159" i="17"/>
  <c r="C161" i="17"/>
  <c r="C163" i="17"/>
  <c r="C165" i="17"/>
  <c r="C167" i="17"/>
  <c r="C169" i="17"/>
  <c r="C171" i="17"/>
  <c r="C173" i="17"/>
  <c r="C175" i="17"/>
  <c r="C177" i="17"/>
  <c r="C179" i="17"/>
  <c r="C181" i="17"/>
  <c r="C154" i="17"/>
  <c r="C156" i="17"/>
  <c r="C158" i="17"/>
  <c r="C160" i="17"/>
  <c r="C162" i="17"/>
  <c r="C164" i="17"/>
  <c r="C166" i="17"/>
  <c r="C168" i="17"/>
  <c r="C170" i="17"/>
  <c r="C172" i="17"/>
  <c r="C174" i="17"/>
  <c r="C176" i="17"/>
  <c r="C178" i="17"/>
  <c r="C180" i="17"/>
  <c r="C182" i="17"/>
  <c r="F49" i="6" l="1"/>
  <c r="F45" i="6" s="1"/>
  <c r="K36" i="4" s="1"/>
  <c r="G35" i="4"/>
  <c r="M49" i="6"/>
  <c r="K49" i="6"/>
  <c r="L49" i="6"/>
  <c r="I49" i="6"/>
  <c r="I46" i="6" s="1"/>
  <c r="N37" i="4" s="1"/>
  <c r="H49" i="6"/>
  <c r="H46" i="6" s="1"/>
  <c r="M37" i="4" s="1"/>
  <c r="G49" i="6"/>
  <c r="J49" i="6"/>
  <c r="J46" i="6" s="1"/>
  <c r="O37" i="4" s="1"/>
  <c r="AH2" i="17"/>
  <c r="AI2" i="17"/>
  <c r="E182" i="17"/>
  <c r="F182" i="17"/>
  <c r="E166" i="17"/>
  <c r="F166" i="17"/>
  <c r="E179" i="17"/>
  <c r="F179" i="17"/>
  <c r="E163" i="17"/>
  <c r="F163" i="17"/>
  <c r="E13" i="17"/>
  <c r="E26" i="17"/>
  <c r="E15" i="17"/>
  <c r="E23" i="17"/>
  <c r="E144" i="17"/>
  <c r="F144" i="17"/>
  <c r="E128" i="17"/>
  <c r="F128" i="17"/>
  <c r="E143" i="17"/>
  <c r="F143" i="17"/>
  <c r="E127" i="17"/>
  <c r="F127" i="17"/>
  <c r="E202" i="17"/>
  <c r="F202" i="17"/>
  <c r="E186" i="17"/>
  <c r="F186" i="17"/>
  <c r="F201" i="17"/>
  <c r="E201" i="17"/>
  <c r="F185" i="17"/>
  <c r="E185" i="17"/>
  <c r="E256" i="17"/>
  <c r="F256" i="17"/>
  <c r="E269" i="17"/>
  <c r="F269" i="17"/>
  <c r="E253" i="17"/>
  <c r="F253" i="17"/>
  <c r="E59" i="17"/>
  <c r="F59" i="17"/>
  <c r="E43" i="17"/>
  <c r="F43" i="17"/>
  <c r="E56" i="17"/>
  <c r="F56" i="17"/>
  <c r="E40" i="17"/>
  <c r="F40" i="17"/>
  <c r="E112" i="17"/>
  <c r="F112" i="17"/>
  <c r="F97" i="17"/>
  <c r="E97" i="17"/>
  <c r="E110" i="17"/>
  <c r="F110" i="17"/>
  <c r="E94" i="17"/>
  <c r="F94" i="17"/>
  <c r="E232" i="17"/>
  <c r="F232" i="17"/>
  <c r="E216" i="17"/>
  <c r="F216" i="17"/>
  <c r="E231" i="17"/>
  <c r="F231" i="17"/>
  <c r="E215" i="17"/>
  <c r="F215" i="17"/>
  <c r="E289" i="17"/>
  <c r="F289" i="17"/>
  <c r="E305" i="17"/>
  <c r="F305" i="17"/>
  <c r="F290" i="17"/>
  <c r="E290" i="17"/>
  <c r="E337" i="17"/>
  <c r="F337" i="17"/>
  <c r="E353" i="17"/>
  <c r="F353" i="17"/>
  <c r="F338" i="17"/>
  <c r="E338" i="17"/>
  <c r="F354" i="17"/>
  <c r="E354" i="17"/>
  <c r="F89" i="17"/>
  <c r="E89" i="17"/>
  <c r="F73" i="17"/>
  <c r="E73" i="17"/>
  <c r="E88" i="17"/>
  <c r="F88" i="17"/>
  <c r="E72" i="17"/>
  <c r="F72" i="17"/>
  <c r="E311" i="17"/>
  <c r="F311" i="17"/>
  <c r="E327" i="17"/>
  <c r="F327" i="17"/>
  <c r="E312" i="17"/>
  <c r="F312" i="17"/>
  <c r="E328" i="17"/>
  <c r="F328" i="17"/>
  <c r="E180" i="17"/>
  <c r="F180" i="17"/>
  <c r="E164" i="17"/>
  <c r="F164" i="17"/>
  <c r="F177" i="17"/>
  <c r="E177" i="17"/>
  <c r="F161" i="17"/>
  <c r="E161" i="17"/>
  <c r="E10" i="17"/>
  <c r="E24" i="17"/>
  <c r="E12" i="17"/>
  <c r="E21" i="17"/>
  <c r="E142" i="17"/>
  <c r="F142" i="17"/>
  <c r="E126" i="17"/>
  <c r="F126" i="17"/>
  <c r="F141" i="17"/>
  <c r="E141" i="17"/>
  <c r="F125" i="17"/>
  <c r="E125" i="17"/>
  <c r="E200" i="17"/>
  <c r="F200" i="17"/>
  <c r="E184" i="17"/>
  <c r="F184" i="17"/>
  <c r="E199" i="17"/>
  <c r="F199" i="17"/>
  <c r="E183" i="17"/>
  <c r="F183" i="17"/>
  <c r="F254" i="17"/>
  <c r="E254" i="17"/>
  <c r="E267" i="17"/>
  <c r="F267" i="17"/>
  <c r="E251" i="17"/>
  <c r="F251" i="17"/>
  <c r="F57" i="17"/>
  <c r="E57" i="17"/>
  <c r="F41" i="17"/>
  <c r="E41" i="17"/>
  <c r="E54" i="17"/>
  <c r="F54" i="17"/>
  <c r="E38" i="17"/>
  <c r="F38" i="17"/>
  <c r="E111" i="17"/>
  <c r="F111" i="17"/>
  <c r="E95" i="17"/>
  <c r="F95" i="17"/>
  <c r="E108" i="17"/>
  <c r="F108" i="17"/>
  <c r="E92" i="17"/>
  <c r="F92" i="17"/>
  <c r="E230" i="17"/>
  <c r="F230" i="17"/>
  <c r="E214" i="17"/>
  <c r="F214" i="17"/>
  <c r="F229" i="17"/>
  <c r="E229" i="17"/>
  <c r="E275" i="17"/>
  <c r="F275" i="17"/>
  <c r="E291" i="17"/>
  <c r="F291" i="17"/>
  <c r="E276" i="17"/>
  <c r="F276" i="17"/>
  <c r="E292" i="17"/>
  <c r="F292" i="17"/>
  <c r="E339" i="17"/>
  <c r="F339" i="17"/>
  <c r="E355" i="17"/>
  <c r="F355" i="17"/>
  <c r="E340" i="17"/>
  <c r="F340" i="17"/>
  <c r="E356" i="17"/>
  <c r="F356" i="17"/>
  <c r="E87" i="17"/>
  <c r="F87" i="17"/>
  <c r="E71" i="17"/>
  <c r="F71" i="17"/>
  <c r="E86" i="17"/>
  <c r="F86" i="17"/>
  <c r="E70" i="17"/>
  <c r="F70" i="17"/>
  <c r="E313" i="17"/>
  <c r="F313" i="17"/>
  <c r="E329" i="17"/>
  <c r="F329" i="17"/>
  <c r="F314" i="17"/>
  <c r="E314" i="17"/>
  <c r="F330" i="17"/>
  <c r="E330" i="17"/>
  <c r="E178" i="17"/>
  <c r="F178" i="17"/>
  <c r="E162" i="17"/>
  <c r="F162" i="17"/>
  <c r="E175" i="17"/>
  <c r="F175" i="17"/>
  <c r="E159" i="17"/>
  <c r="F159" i="17"/>
  <c r="E8" i="17"/>
  <c r="E22" i="17"/>
  <c r="E6" i="17"/>
  <c r="E19" i="17"/>
  <c r="E140" i="17"/>
  <c r="F140" i="17"/>
  <c r="E124" i="17"/>
  <c r="F124" i="17"/>
  <c r="E139" i="17"/>
  <c r="F139" i="17"/>
  <c r="E123" i="17"/>
  <c r="F123" i="17"/>
  <c r="E198" i="17"/>
  <c r="F198" i="17"/>
  <c r="F213" i="17"/>
  <c r="E213" i="17"/>
  <c r="F197" i="17"/>
  <c r="E197" i="17"/>
  <c r="E268" i="17"/>
  <c r="F268" i="17"/>
  <c r="E252" i="17"/>
  <c r="F252" i="17"/>
  <c r="E265" i="17"/>
  <c r="F265" i="17"/>
  <c r="E249" i="17"/>
  <c r="F249" i="17"/>
  <c r="E55" i="17"/>
  <c r="F55" i="17"/>
  <c r="E39" i="17"/>
  <c r="F39" i="17"/>
  <c r="E52" i="17"/>
  <c r="F52" i="17"/>
  <c r="E36" i="17"/>
  <c r="F36" i="17"/>
  <c r="F109" i="17"/>
  <c r="E109" i="17"/>
  <c r="F93" i="17"/>
  <c r="E93" i="17"/>
  <c r="E106" i="17"/>
  <c r="F106" i="17"/>
  <c r="E244" i="17"/>
  <c r="F244" i="17"/>
  <c r="E228" i="17"/>
  <c r="F228" i="17"/>
  <c r="E243" i="17"/>
  <c r="F243" i="17"/>
  <c r="E227" i="17"/>
  <c r="F227" i="17"/>
  <c r="E277" i="17"/>
  <c r="F277" i="17"/>
  <c r="E293" i="17"/>
  <c r="F293" i="17"/>
  <c r="F278" i="17"/>
  <c r="E278" i="17"/>
  <c r="F294" i="17"/>
  <c r="E294" i="17"/>
  <c r="E341" i="17"/>
  <c r="F341" i="17"/>
  <c r="E357" i="17"/>
  <c r="F357" i="17"/>
  <c r="F342" i="17"/>
  <c r="E342" i="17"/>
  <c r="F358" i="17"/>
  <c r="E358" i="17"/>
  <c r="F85" i="17"/>
  <c r="E85" i="17"/>
  <c r="F69" i="17"/>
  <c r="E69" i="17"/>
  <c r="E84" i="17"/>
  <c r="F84" i="17"/>
  <c r="E68" i="17"/>
  <c r="F68" i="17"/>
  <c r="E315" i="17"/>
  <c r="F315" i="17"/>
  <c r="E331" i="17"/>
  <c r="F331" i="17"/>
  <c r="E316" i="17"/>
  <c r="F316" i="17"/>
  <c r="E332" i="17"/>
  <c r="F332" i="17"/>
  <c r="E176" i="17"/>
  <c r="F176" i="17"/>
  <c r="E160" i="17"/>
  <c r="F160" i="17"/>
  <c r="F173" i="17"/>
  <c r="E173" i="17"/>
  <c r="F157" i="17"/>
  <c r="E157" i="17"/>
  <c r="E4" i="17"/>
  <c r="E20" i="17"/>
  <c r="E9" i="17"/>
  <c r="E17" i="17"/>
  <c r="E138" i="17"/>
  <c r="F138" i="17"/>
  <c r="E122" i="17"/>
  <c r="F122" i="17"/>
  <c r="F137" i="17"/>
  <c r="E137" i="17"/>
  <c r="E212" i="17"/>
  <c r="F212" i="17"/>
  <c r="E196" i="17"/>
  <c r="F196" i="17"/>
  <c r="E211" i="17"/>
  <c r="F211" i="17"/>
  <c r="E195" i="17"/>
  <c r="F195" i="17"/>
  <c r="F266" i="17"/>
  <c r="E266" i="17"/>
  <c r="F250" i="17"/>
  <c r="E250" i="17"/>
  <c r="E263" i="17"/>
  <c r="F263" i="17"/>
  <c r="E247" i="17"/>
  <c r="F247" i="17"/>
  <c r="F53" i="17"/>
  <c r="E53" i="17"/>
  <c r="F37" i="17"/>
  <c r="E37" i="17"/>
  <c r="E50" i="17"/>
  <c r="F50" i="17"/>
  <c r="E34" i="17"/>
  <c r="F34" i="17"/>
  <c r="E107" i="17"/>
  <c r="F107" i="17"/>
  <c r="F121" i="17"/>
  <c r="E121" i="17"/>
  <c r="E104" i="17"/>
  <c r="F104" i="17"/>
  <c r="E242" i="17"/>
  <c r="F242" i="17"/>
  <c r="E226" i="17"/>
  <c r="F226" i="17"/>
  <c r="E241" i="17"/>
  <c r="F241" i="17"/>
  <c r="F225" i="17"/>
  <c r="E225" i="17"/>
  <c r="E279" i="17"/>
  <c r="F279" i="17"/>
  <c r="E295" i="17"/>
  <c r="F295" i="17"/>
  <c r="E280" i="17"/>
  <c r="F280" i="17"/>
  <c r="E296" i="17"/>
  <c r="F296" i="17"/>
  <c r="E343" i="17"/>
  <c r="F343" i="17"/>
  <c r="E359" i="17"/>
  <c r="F359" i="17"/>
  <c r="E344" i="17"/>
  <c r="F344" i="17"/>
  <c r="E360" i="17"/>
  <c r="F360" i="17"/>
  <c r="E83" i="17"/>
  <c r="F83" i="17"/>
  <c r="E67" i="17"/>
  <c r="F67" i="17"/>
  <c r="E82" i="17"/>
  <c r="F82" i="17"/>
  <c r="E66" i="17"/>
  <c r="F66" i="17"/>
  <c r="E317" i="17"/>
  <c r="F317" i="17"/>
  <c r="E333" i="17"/>
  <c r="F333" i="17"/>
  <c r="F318" i="17"/>
  <c r="E318" i="17"/>
  <c r="F334" i="17"/>
  <c r="E334" i="17"/>
  <c r="E174" i="17"/>
  <c r="F174" i="17"/>
  <c r="E158" i="17"/>
  <c r="F158" i="17"/>
  <c r="E171" i="17"/>
  <c r="F171" i="17"/>
  <c r="E155" i="17"/>
  <c r="F155" i="17"/>
  <c r="E7" i="17"/>
  <c r="E18" i="17"/>
  <c r="E5" i="17"/>
  <c r="E152" i="17"/>
  <c r="F152" i="17"/>
  <c r="E136" i="17"/>
  <c r="F136" i="17"/>
  <c r="E151" i="17"/>
  <c r="F151" i="17"/>
  <c r="E135" i="17"/>
  <c r="F135" i="17"/>
  <c r="E210" i="17"/>
  <c r="F210" i="17"/>
  <c r="E194" i="17"/>
  <c r="F194" i="17"/>
  <c r="F209" i="17"/>
  <c r="E209" i="17"/>
  <c r="F193" i="17"/>
  <c r="E193" i="17"/>
  <c r="E264" i="17"/>
  <c r="F264" i="17"/>
  <c r="E248" i="17"/>
  <c r="F248" i="17"/>
  <c r="E261" i="17"/>
  <c r="F261" i="17"/>
  <c r="E245" i="17"/>
  <c r="F245" i="17"/>
  <c r="E51" i="17"/>
  <c r="F51" i="17"/>
  <c r="E35" i="17"/>
  <c r="F35" i="17"/>
  <c r="E48" i="17"/>
  <c r="F48" i="17"/>
  <c r="E120" i="17"/>
  <c r="F120" i="17"/>
  <c r="F105" i="17"/>
  <c r="E105" i="17"/>
  <c r="E119" i="17"/>
  <c r="F119" i="17"/>
  <c r="E102" i="17"/>
  <c r="F102" i="17"/>
  <c r="E240" i="17"/>
  <c r="F240" i="17"/>
  <c r="E224" i="17"/>
  <c r="F224" i="17"/>
  <c r="E239" i="17"/>
  <c r="F239" i="17"/>
  <c r="E223" i="17"/>
  <c r="F223" i="17"/>
  <c r="E281" i="17"/>
  <c r="F281" i="17"/>
  <c r="E297" i="17"/>
  <c r="F297" i="17"/>
  <c r="F282" i="17"/>
  <c r="E282" i="17"/>
  <c r="F298" i="17"/>
  <c r="E298" i="17"/>
  <c r="E345" i="17"/>
  <c r="F345" i="17"/>
  <c r="E361" i="17"/>
  <c r="F361" i="17"/>
  <c r="F346" i="17"/>
  <c r="E346" i="17"/>
  <c r="F362" i="17"/>
  <c r="E362" i="17"/>
  <c r="F81" i="17"/>
  <c r="E81" i="17"/>
  <c r="F65" i="17"/>
  <c r="E65" i="17"/>
  <c r="E80" i="17"/>
  <c r="F80" i="17"/>
  <c r="E64" i="17"/>
  <c r="F64" i="17"/>
  <c r="E319" i="17"/>
  <c r="F319" i="17"/>
  <c r="E335" i="17"/>
  <c r="F335" i="17"/>
  <c r="E320" i="17"/>
  <c r="F320" i="17"/>
  <c r="E2" i="17"/>
  <c r="D2" i="17"/>
  <c r="E172" i="17"/>
  <c r="F172" i="17"/>
  <c r="E156" i="17"/>
  <c r="F156" i="17"/>
  <c r="F169" i="17"/>
  <c r="E169" i="17"/>
  <c r="F153" i="17"/>
  <c r="E153" i="17"/>
  <c r="D3" i="17"/>
  <c r="E3" i="17"/>
  <c r="E16" i="17"/>
  <c r="E11" i="17"/>
  <c r="E150" i="17"/>
  <c r="F150" i="17"/>
  <c r="E134" i="17"/>
  <c r="F134" i="17"/>
  <c r="F149" i="17"/>
  <c r="E149" i="17"/>
  <c r="F133" i="17"/>
  <c r="E133" i="17"/>
  <c r="E208" i="17"/>
  <c r="F208" i="17"/>
  <c r="E192" i="17"/>
  <c r="F192" i="17"/>
  <c r="E207" i="17"/>
  <c r="F207" i="17"/>
  <c r="E191" i="17"/>
  <c r="F191" i="17"/>
  <c r="F262" i="17"/>
  <c r="E262" i="17"/>
  <c r="F246" i="17"/>
  <c r="E246" i="17"/>
  <c r="E259" i="17"/>
  <c r="F259" i="17"/>
  <c r="F270" i="17"/>
  <c r="E270" i="17"/>
  <c r="F49" i="17"/>
  <c r="E49" i="17"/>
  <c r="F33" i="17"/>
  <c r="E33" i="17"/>
  <c r="E46" i="17"/>
  <c r="F46" i="17"/>
  <c r="E118" i="17"/>
  <c r="F118" i="17"/>
  <c r="E103" i="17"/>
  <c r="F103" i="17"/>
  <c r="F117" i="17"/>
  <c r="E117" i="17"/>
  <c r="E100" i="17"/>
  <c r="F100" i="17"/>
  <c r="E238" i="17"/>
  <c r="F238" i="17"/>
  <c r="E222" i="17"/>
  <c r="F222" i="17"/>
  <c r="F237" i="17"/>
  <c r="E237" i="17"/>
  <c r="F221" i="17"/>
  <c r="E221" i="17"/>
  <c r="E283" i="17"/>
  <c r="F283" i="17"/>
  <c r="E299" i="17"/>
  <c r="F299" i="17"/>
  <c r="E284" i="17"/>
  <c r="F284" i="17"/>
  <c r="E300" i="17"/>
  <c r="F300" i="17"/>
  <c r="E347" i="17"/>
  <c r="F347" i="17"/>
  <c r="E363" i="17"/>
  <c r="F363" i="17"/>
  <c r="E348" i="17"/>
  <c r="F348" i="17"/>
  <c r="F364" i="17"/>
  <c r="E364" i="17"/>
  <c r="E79" i="17"/>
  <c r="F79" i="17"/>
  <c r="E63" i="17"/>
  <c r="F63" i="17"/>
  <c r="E78" i="17"/>
  <c r="F78" i="17"/>
  <c r="E62" i="17"/>
  <c r="F62" i="17"/>
  <c r="E321" i="17"/>
  <c r="F321" i="17"/>
  <c r="F306" i="17"/>
  <c r="E306" i="17"/>
  <c r="F322" i="17"/>
  <c r="E322" i="17"/>
  <c r="E170" i="17"/>
  <c r="F170" i="17"/>
  <c r="E154" i="17"/>
  <c r="F154" i="17"/>
  <c r="E167" i="17"/>
  <c r="F167" i="17"/>
  <c r="E31" i="17"/>
  <c r="E14" i="17"/>
  <c r="E32" i="17"/>
  <c r="E27" i="17"/>
  <c r="E148" i="17"/>
  <c r="F148" i="17"/>
  <c r="E132" i="17"/>
  <c r="F132" i="17"/>
  <c r="E147" i="17"/>
  <c r="F147" i="17"/>
  <c r="E131" i="17"/>
  <c r="F131" i="17"/>
  <c r="E206" i="17"/>
  <c r="F206" i="17"/>
  <c r="E190" i="17"/>
  <c r="F190" i="17"/>
  <c r="F205" i="17"/>
  <c r="E205" i="17"/>
  <c r="F189" i="17"/>
  <c r="E189" i="17"/>
  <c r="E260" i="17"/>
  <c r="F260" i="17"/>
  <c r="E271" i="17"/>
  <c r="F271" i="17"/>
  <c r="E257" i="17"/>
  <c r="F257" i="17"/>
  <c r="E272" i="17"/>
  <c r="F272" i="17"/>
  <c r="E47" i="17"/>
  <c r="F47" i="17"/>
  <c r="E60" i="17"/>
  <c r="F60" i="17"/>
  <c r="E44" i="17"/>
  <c r="F44" i="17"/>
  <c r="E116" i="17"/>
  <c r="F116" i="17"/>
  <c r="F101" i="17"/>
  <c r="E101" i="17"/>
  <c r="E115" i="17"/>
  <c r="F115" i="17"/>
  <c r="E98" i="17"/>
  <c r="F98" i="17"/>
  <c r="E236" i="17"/>
  <c r="F236" i="17"/>
  <c r="E220" i="17"/>
  <c r="F220" i="17"/>
  <c r="E235" i="17"/>
  <c r="F235" i="17"/>
  <c r="E219" i="17"/>
  <c r="F219" i="17"/>
  <c r="E285" i="17"/>
  <c r="F285" i="17"/>
  <c r="E301" i="17"/>
  <c r="F301" i="17"/>
  <c r="F286" i="17"/>
  <c r="E286" i="17"/>
  <c r="F302" i="17"/>
  <c r="E302" i="17"/>
  <c r="E349" i="17"/>
  <c r="F349" i="17"/>
  <c r="E365" i="17"/>
  <c r="F365" i="17"/>
  <c r="F350" i="17"/>
  <c r="E350" i="17"/>
  <c r="F366" i="17"/>
  <c r="E366" i="17"/>
  <c r="F77" i="17"/>
  <c r="E77" i="17"/>
  <c r="F61" i="17"/>
  <c r="E61" i="17"/>
  <c r="E76" i="17"/>
  <c r="F76" i="17"/>
  <c r="E307" i="17"/>
  <c r="F307" i="17"/>
  <c r="E323" i="17"/>
  <c r="F323" i="17"/>
  <c r="E308" i="17"/>
  <c r="F308" i="17"/>
  <c r="E324" i="17"/>
  <c r="F324" i="17"/>
  <c r="E168" i="17"/>
  <c r="F168" i="17"/>
  <c r="F181" i="17"/>
  <c r="E181" i="17"/>
  <c r="F165" i="17"/>
  <c r="E165" i="17"/>
  <c r="E29" i="17"/>
  <c r="E28" i="17"/>
  <c r="E30" i="17"/>
  <c r="E25" i="17"/>
  <c r="E146" i="17"/>
  <c r="F146" i="17"/>
  <c r="E130" i="17"/>
  <c r="F130" i="17"/>
  <c r="F145" i="17"/>
  <c r="E145" i="17"/>
  <c r="F129" i="17"/>
  <c r="E129" i="17"/>
  <c r="E204" i="17"/>
  <c r="F204" i="17"/>
  <c r="E188" i="17"/>
  <c r="F188" i="17"/>
  <c r="E203" i="17"/>
  <c r="F203" i="17"/>
  <c r="E187" i="17"/>
  <c r="F187" i="17"/>
  <c r="F258" i="17"/>
  <c r="E258" i="17"/>
  <c r="E273" i="17"/>
  <c r="F273" i="17"/>
  <c r="E255" i="17"/>
  <c r="F255" i="17"/>
  <c r="F274" i="17"/>
  <c r="E274" i="17"/>
  <c r="F45" i="17"/>
  <c r="E45" i="17"/>
  <c r="E58" i="17"/>
  <c r="F58" i="17"/>
  <c r="E42" i="17"/>
  <c r="F42" i="17"/>
  <c r="E114" i="17"/>
  <c r="F114" i="17"/>
  <c r="E99" i="17"/>
  <c r="F99" i="17"/>
  <c r="F113" i="17"/>
  <c r="E113" i="17"/>
  <c r="E96" i="17"/>
  <c r="F96" i="17"/>
  <c r="E234" i="17"/>
  <c r="F234" i="17"/>
  <c r="E218" i="17"/>
  <c r="F218" i="17"/>
  <c r="F233" i="17"/>
  <c r="E233" i="17"/>
  <c r="F217" i="17"/>
  <c r="E217" i="17"/>
  <c r="E287" i="17"/>
  <c r="F287" i="17"/>
  <c r="E303" i="17"/>
  <c r="F303" i="17"/>
  <c r="E288" i="17"/>
  <c r="F288" i="17"/>
  <c r="E304" i="17"/>
  <c r="F304" i="17"/>
  <c r="E351" i="17"/>
  <c r="F351" i="17"/>
  <c r="E336" i="17"/>
  <c r="F336" i="17"/>
  <c r="E352" i="17"/>
  <c r="F352" i="17"/>
  <c r="E91" i="17"/>
  <c r="F91" i="17"/>
  <c r="E75" i="17"/>
  <c r="F75" i="17"/>
  <c r="E90" i="17"/>
  <c r="F90" i="17"/>
  <c r="E74" i="17"/>
  <c r="F74" i="17"/>
  <c r="E309" i="17"/>
  <c r="F309" i="17"/>
  <c r="E325" i="17"/>
  <c r="F325" i="17"/>
  <c r="F310" i="17"/>
  <c r="E310" i="17"/>
  <c r="F326" i="17"/>
  <c r="E326" i="17"/>
  <c r="AJ3" i="17"/>
  <c r="F12" i="17" s="1"/>
  <c r="AJ2" i="17"/>
  <c r="D2" i="13" l="1"/>
  <c r="C2" i="13"/>
  <c r="K35" i="4"/>
  <c r="AH7" i="17" s="1"/>
  <c r="D122" i="17" s="1"/>
  <c r="F46" i="6"/>
  <c r="K37" i="4" s="1"/>
  <c r="G46" i="6"/>
  <c r="L37" i="4" s="1"/>
  <c r="L45" i="6"/>
  <c r="Q36" i="4" s="1"/>
  <c r="L46" i="6"/>
  <c r="Q37" i="4" s="1"/>
  <c r="K45" i="6"/>
  <c r="P36" i="4" s="1"/>
  <c r="K46" i="6"/>
  <c r="P37" i="4" s="1"/>
  <c r="M45" i="6"/>
  <c r="R36" i="4" s="1"/>
  <c r="M46" i="6"/>
  <c r="R37" i="4" s="1"/>
  <c r="O35" i="4"/>
  <c r="AH11" i="17" s="1"/>
  <c r="D245" i="17" s="1"/>
  <c r="J45" i="6"/>
  <c r="O36" i="4" s="1"/>
  <c r="L35" i="4"/>
  <c r="AH8" i="17" s="1"/>
  <c r="G45" i="6"/>
  <c r="L36" i="4" s="1"/>
  <c r="N35" i="4"/>
  <c r="AH10" i="17" s="1"/>
  <c r="D244" i="17" s="1"/>
  <c r="I45" i="6"/>
  <c r="N36" i="4" s="1"/>
  <c r="M35" i="4"/>
  <c r="AH9" i="17" s="1"/>
  <c r="D185" i="17" s="1"/>
  <c r="H45" i="6"/>
  <c r="M36" i="4" s="1"/>
  <c r="G3" i="17"/>
  <c r="G2" i="17"/>
  <c r="F3" i="17"/>
  <c r="F25" i="17"/>
  <c r="F19" i="17"/>
  <c r="F31" i="17"/>
  <c r="F20" i="17"/>
  <c r="F23" i="17"/>
  <c r="F24" i="17"/>
  <c r="F29" i="17"/>
  <c r="F9" i="17"/>
  <c r="F13" i="17"/>
  <c r="F30" i="17"/>
  <c r="F27" i="17"/>
  <c r="F4" i="17"/>
  <c r="F6" i="17"/>
  <c r="F10" i="17"/>
  <c r="F15" i="17"/>
  <c r="F5" i="17"/>
  <c r="F28" i="17"/>
  <c r="F32" i="17"/>
  <c r="F11" i="17"/>
  <c r="F18" i="17"/>
  <c r="F22" i="17"/>
  <c r="F26" i="17"/>
  <c r="F2" i="17"/>
  <c r="F17" i="17"/>
  <c r="F21" i="17"/>
  <c r="F14" i="17"/>
  <c r="F16" i="17"/>
  <c r="F7" i="17"/>
  <c r="F8" i="17"/>
  <c r="H6" i="17"/>
  <c r="H10" i="17"/>
  <c r="H14" i="17"/>
  <c r="H18" i="17"/>
  <c r="H22" i="17"/>
  <c r="H26" i="17"/>
  <c r="H30" i="17"/>
  <c r="H34" i="17"/>
  <c r="H38" i="17"/>
  <c r="H42" i="17"/>
  <c r="H46" i="17"/>
  <c r="H50" i="17"/>
  <c r="H54" i="17"/>
  <c r="H58" i="17"/>
  <c r="H62" i="17"/>
  <c r="H66" i="17"/>
  <c r="H70" i="17"/>
  <c r="H74" i="17"/>
  <c r="H78" i="17"/>
  <c r="H82" i="17"/>
  <c r="H86" i="17"/>
  <c r="H90" i="17"/>
  <c r="H94" i="17"/>
  <c r="H98" i="17"/>
  <c r="H102" i="17"/>
  <c r="H106" i="17"/>
  <c r="H110" i="17"/>
  <c r="H114" i="17"/>
  <c r="H118" i="17"/>
  <c r="H122" i="17"/>
  <c r="H126" i="17"/>
  <c r="H130" i="17"/>
  <c r="H134" i="17"/>
  <c r="H138" i="17"/>
  <c r="H142" i="17"/>
  <c r="H146" i="17"/>
  <c r="H150" i="17"/>
  <c r="H154" i="17"/>
  <c r="H158" i="17"/>
  <c r="H162" i="17"/>
  <c r="H166" i="17"/>
  <c r="H170" i="17"/>
  <c r="H174" i="17"/>
  <c r="H178" i="17"/>
  <c r="H182" i="17"/>
  <c r="H186" i="17"/>
  <c r="H190" i="17"/>
  <c r="H194" i="17"/>
  <c r="H198" i="17"/>
  <c r="H202" i="17"/>
  <c r="H206" i="17"/>
  <c r="H210" i="17"/>
  <c r="H214" i="17"/>
  <c r="H218" i="17"/>
  <c r="H222" i="17"/>
  <c r="H226" i="17"/>
  <c r="H230" i="17"/>
  <c r="H234" i="17"/>
  <c r="H238" i="17"/>
  <c r="H242" i="17"/>
  <c r="H246" i="17"/>
  <c r="H250" i="17"/>
  <c r="H254" i="17"/>
  <c r="H258" i="17"/>
  <c r="H262" i="17"/>
  <c r="H266" i="17"/>
  <c r="H270" i="17"/>
  <c r="H274" i="17"/>
  <c r="H278" i="17"/>
  <c r="H282" i="17"/>
  <c r="H286" i="17"/>
  <c r="H290" i="17"/>
  <c r="H294" i="17"/>
  <c r="H298" i="17"/>
  <c r="H302" i="17"/>
  <c r="H306" i="17"/>
  <c r="H310" i="17"/>
  <c r="H314" i="17"/>
  <c r="H318" i="17"/>
  <c r="H322" i="17"/>
  <c r="H326" i="17"/>
  <c r="H330" i="17"/>
  <c r="H334" i="17"/>
  <c r="H338" i="17"/>
  <c r="H3" i="17"/>
  <c r="H7" i="17"/>
  <c r="H11" i="17"/>
  <c r="H15" i="17"/>
  <c r="H19" i="17"/>
  <c r="H23" i="17"/>
  <c r="H27" i="17"/>
  <c r="H31" i="17"/>
  <c r="H35" i="17"/>
  <c r="H39" i="17"/>
  <c r="H43" i="17"/>
  <c r="H47" i="17"/>
  <c r="H51" i="17"/>
  <c r="H55" i="17"/>
  <c r="H59" i="17"/>
  <c r="H63" i="17"/>
  <c r="H67" i="17"/>
  <c r="H71" i="17"/>
  <c r="H75" i="17"/>
  <c r="H79" i="17"/>
  <c r="H83" i="17"/>
  <c r="H87" i="17"/>
  <c r="H91" i="17"/>
  <c r="H95" i="17"/>
  <c r="H99" i="17"/>
  <c r="H103" i="17"/>
  <c r="H107" i="17"/>
  <c r="H111" i="17"/>
  <c r="H115" i="17"/>
  <c r="H119" i="17"/>
  <c r="H123" i="17"/>
  <c r="H127" i="17"/>
  <c r="H131" i="17"/>
  <c r="H135" i="17"/>
  <c r="H139" i="17"/>
  <c r="H143" i="17"/>
  <c r="H147" i="17"/>
  <c r="H151" i="17"/>
  <c r="H155" i="17"/>
  <c r="H159" i="17"/>
  <c r="H163" i="17"/>
  <c r="H167" i="17"/>
  <c r="H171" i="17"/>
  <c r="H175" i="17"/>
  <c r="H179" i="17"/>
  <c r="H183" i="17"/>
  <c r="H187" i="17"/>
  <c r="H191" i="17"/>
  <c r="H195" i="17"/>
  <c r="H199" i="17"/>
  <c r="H203" i="17"/>
  <c r="H207" i="17"/>
  <c r="H211" i="17"/>
  <c r="H215" i="17"/>
  <c r="H219" i="17"/>
  <c r="H223" i="17"/>
  <c r="H227" i="17"/>
  <c r="H231" i="17"/>
  <c r="H235" i="17"/>
  <c r="H239" i="17"/>
  <c r="H243" i="17"/>
  <c r="H247" i="17"/>
  <c r="H251" i="17"/>
  <c r="H255" i="17"/>
  <c r="H259" i="17"/>
  <c r="H263" i="17"/>
  <c r="H267" i="17"/>
  <c r="H271" i="17"/>
  <c r="H275" i="17"/>
  <c r="H279" i="17"/>
  <c r="H283" i="17"/>
  <c r="H287" i="17"/>
  <c r="H291" i="17"/>
  <c r="H295" i="17"/>
  <c r="H299" i="17"/>
  <c r="H303" i="17"/>
  <c r="H307" i="17"/>
  <c r="H311" i="17"/>
  <c r="H315" i="17"/>
  <c r="H319" i="17"/>
  <c r="H323" i="17"/>
  <c r="H327" i="17"/>
  <c r="H331" i="17"/>
  <c r="H335" i="17"/>
  <c r="H339" i="17"/>
  <c r="H4" i="17"/>
  <c r="H8" i="17"/>
  <c r="H12" i="17"/>
  <c r="H16" i="17"/>
  <c r="H20" i="17"/>
  <c r="H24" i="17"/>
  <c r="H28" i="17"/>
  <c r="H32" i="17"/>
  <c r="H36" i="17"/>
  <c r="H40" i="17"/>
  <c r="H44" i="17"/>
  <c r="H48" i="17"/>
  <c r="H52" i="17"/>
  <c r="H56" i="17"/>
  <c r="H60" i="17"/>
  <c r="H64" i="17"/>
  <c r="H68" i="17"/>
  <c r="H72" i="17"/>
  <c r="H76" i="17"/>
  <c r="H80" i="17"/>
  <c r="H84" i="17"/>
  <c r="H88" i="17"/>
  <c r="H92" i="17"/>
  <c r="H96" i="17"/>
  <c r="H100" i="17"/>
  <c r="H104" i="17"/>
  <c r="H108" i="17"/>
  <c r="H112" i="17"/>
  <c r="H116" i="17"/>
  <c r="H120" i="17"/>
  <c r="H124" i="17"/>
  <c r="H128" i="17"/>
  <c r="H132" i="17"/>
  <c r="H136" i="17"/>
  <c r="H140" i="17"/>
  <c r="H144" i="17"/>
  <c r="H148" i="17"/>
  <c r="H152" i="17"/>
  <c r="H156" i="17"/>
  <c r="H160" i="17"/>
  <c r="H164" i="17"/>
  <c r="H168" i="17"/>
  <c r="H172" i="17"/>
  <c r="H176" i="17"/>
  <c r="H180" i="17"/>
  <c r="H184" i="17"/>
  <c r="H188" i="17"/>
  <c r="H192" i="17"/>
  <c r="H196" i="17"/>
  <c r="H200" i="17"/>
  <c r="H204" i="17"/>
  <c r="H208" i="17"/>
  <c r="H212" i="17"/>
  <c r="H216" i="17"/>
  <c r="H220" i="17"/>
  <c r="H224" i="17"/>
  <c r="H228" i="17"/>
  <c r="H232" i="17"/>
  <c r="H236" i="17"/>
  <c r="H240" i="17"/>
  <c r="H244" i="17"/>
  <c r="H248" i="17"/>
  <c r="H252" i="17"/>
  <c r="H256" i="17"/>
  <c r="H260" i="17"/>
  <c r="H264" i="17"/>
  <c r="H268" i="17"/>
  <c r="H272" i="17"/>
  <c r="H276" i="17"/>
  <c r="H280" i="17"/>
  <c r="H284" i="17"/>
  <c r="H288" i="17"/>
  <c r="H292" i="17"/>
  <c r="H296" i="17"/>
  <c r="H300" i="17"/>
  <c r="H304" i="17"/>
  <c r="H308" i="17"/>
  <c r="H312" i="17"/>
  <c r="H316" i="17"/>
  <c r="H320" i="17"/>
  <c r="H324" i="17"/>
  <c r="H328" i="17"/>
  <c r="H332" i="17"/>
  <c r="H336" i="17"/>
  <c r="H340" i="17"/>
  <c r="H5" i="17"/>
  <c r="H37" i="17"/>
  <c r="H69" i="17"/>
  <c r="H101" i="17"/>
  <c r="H133" i="17"/>
  <c r="H165" i="17"/>
  <c r="H261" i="17"/>
  <c r="H293" i="17"/>
  <c r="H325" i="17"/>
  <c r="H343" i="17"/>
  <c r="H347" i="17"/>
  <c r="H351" i="17"/>
  <c r="H355" i="17"/>
  <c r="H359" i="17"/>
  <c r="H363" i="17"/>
  <c r="H9" i="17"/>
  <c r="H41" i="17"/>
  <c r="H73" i="17"/>
  <c r="H105" i="17"/>
  <c r="H137" i="17"/>
  <c r="H169" i="17"/>
  <c r="H189" i="17"/>
  <c r="H205" i="17"/>
  <c r="H221" i="17"/>
  <c r="H237" i="17"/>
  <c r="H273" i="17"/>
  <c r="H305" i="17"/>
  <c r="H337" i="17"/>
  <c r="H2" i="17"/>
  <c r="H17" i="17"/>
  <c r="H49" i="17"/>
  <c r="H81" i="17"/>
  <c r="H113" i="17"/>
  <c r="H145" i="17"/>
  <c r="H177" i="17"/>
  <c r="H193" i="17"/>
  <c r="H209" i="17"/>
  <c r="H225" i="17"/>
  <c r="H241" i="17"/>
  <c r="H265" i="17"/>
  <c r="H297" i="17"/>
  <c r="H329" i="17"/>
  <c r="H21" i="17"/>
  <c r="H53" i="17"/>
  <c r="H85" i="17"/>
  <c r="H117" i="17"/>
  <c r="H149" i="17"/>
  <c r="H277" i="17"/>
  <c r="H309" i="17"/>
  <c r="H341" i="17"/>
  <c r="H345" i="17"/>
  <c r="H349" i="17"/>
  <c r="H353" i="17"/>
  <c r="H357" i="17"/>
  <c r="H361" i="17"/>
  <c r="H365" i="17"/>
  <c r="H25" i="17"/>
  <c r="H57" i="17"/>
  <c r="H89" i="17"/>
  <c r="H121" i="17"/>
  <c r="H153" i="17"/>
  <c r="H181" i="17"/>
  <c r="H197" i="17"/>
  <c r="H213" i="17"/>
  <c r="H229" i="17"/>
  <c r="H245" i="17"/>
  <c r="H257" i="17"/>
  <c r="H289" i="17"/>
  <c r="H321" i="17"/>
  <c r="H13" i="17"/>
  <c r="H97" i="17"/>
  <c r="H317" i="17"/>
  <c r="H354" i="17"/>
  <c r="H364" i="17"/>
  <c r="H45" i="17"/>
  <c r="H29" i="17"/>
  <c r="H109" i="17"/>
  <c r="H185" i="17"/>
  <c r="H344" i="17"/>
  <c r="H366" i="17"/>
  <c r="H301" i="17"/>
  <c r="H358" i="17"/>
  <c r="H33" i="17"/>
  <c r="H125" i="17"/>
  <c r="H233" i="17"/>
  <c r="H269" i="17"/>
  <c r="H346" i="17"/>
  <c r="H356" i="17"/>
  <c r="H129" i="17"/>
  <c r="H61" i="17"/>
  <c r="H141" i="17"/>
  <c r="H201" i="17"/>
  <c r="H333" i="17"/>
  <c r="H348" i="17"/>
  <c r="H77" i="17"/>
  <c r="H161" i="17"/>
  <c r="H253" i="17"/>
  <c r="H281" i="17"/>
  <c r="H362" i="17"/>
  <c r="H65" i="17"/>
  <c r="H157" i="17"/>
  <c r="H249" i="17"/>
  <c r="H350" i="17"/>
  <c r="H360" i="17"/>
  <c r="H93" i="17"/>
  <c r="H342" i="17"/>
  <c r="H173" i="17"/>
  <c r="H217" i="17"/>
  <c r="H285" i="17"/>
  <c r="H313" i="17"/>
  <c r="H352" i="17"/>
  <c r="D98" i="17"/>
  <c r="D106" i="17"/>
  <c r="D115" i="17"/>
  <c r="D93" i="17"/>
  <c r="D101" i="17"/>
  <c r="D109" i="17"/>
  <c r="D116" i="17"/>
  <c r="D36" i="17"/>
  <c r="D44" i="17"/>
  <c r="D52" i="17"/>
  <c r="D60" i="17"/>
  <c r="D37" i="17"/>
  <c r="D45" i="17"/>
  <c r="D53" i="17"/>
  <c r="D21" i="17"/>
  <c r="D11" i="17"/>
  <c r="D6" i="17"/>
  <c r="D32" i="17"/>
  <c r="D22" i="17"/>
  <c r="D14" i="17"/>
  <c r="D8" i="17"/>
  <c r="D31" i="17"/>
  <c r="D96" i="17"/>
  <c r="D104" i="17"/>
  <c r="D113" i="17"/>
  <c r="D121" i="17"/>
  <c r="D99" i="17"/>
  <c r="D107" i="17"/>
  <c r="D114" i="17"/>
  <c r="D34" i="17"/>
  <c r="D42" i="17"/>
  <c r="D50" i="17"/>
  <c r="D58" i="17"/>
  <c r="D39" i="17"/>
  <c r="D47" i="17"/>
  <c r="D55" i="17"/>
  <c r="D268" i="17"/>
  <c r="D19" i="17"/>
  <c r="D27" i="17"/>
  <c r="D9" i="17"/>
  <c r="D30" i="17"/>
  <c r="D20" i="17"/>
  <c r="D28" i="17"/>
  <c r="D4" i="17"/>
  <c r="D29" i="17"/>
  <c r="D94" i="17"/>
  <c r="D102" i="17"/>
  <c r="D110" i="17"/>
  <c r="D119" i="17"/>
  <c r="D97" i="17"/>
  <c r="D105" i="17"/>
  <c r="D112" i="17"/>
  <c r="D120" i="17"/>
  <c r="D40" i="17"/>
  <c r="D48" i="17"/>
  <c r="D56" i="17"/>
  <c r="D33" i="17"/>
  <c r="D41" i="17"/>
  <c r="D49" i="17"/>
  <c r="D57" i="17"/>
  <c r="D17" i="17"/>
  <c r="D25" i="17"/>
  <c r="D5" i="17"/>
  <c r="D15" i="17"/>
  <c r="D18" i="17"/>
  <c r="D26" i="17"/>
  <c r="D7" i="17"/>
  <c r="D13" i="17"/>
  <c r="D92" i="17"/>
  <c r="D100" i="17"/>
  <c r="D108" i="17"/>
  <c r="D117" i="17"/>
  <c r="D95" i="17"/>
  <c r="D103" i="17"/>
  <c r="D111" i="17"/>
  <c r="D118" i="17"/>
  <c r="D38" i="17"/>
  <c r="D46" i="17"/>
  <c r="D54" i="17"/>
  <c r="D35" i="17"/>
  <c r="D43" i="17"/>
  <c r="D51" i="17"/>
  <c r="D59" i="17"/>
  <c r="D23" i="17"/>
  <c r="D12" i="17"/>
  <c r="D16" i="17"/>
  <c r="D24" i="17"/>
  <c r="D10" i="17"/>
  <c r="D188" i="17" l="1"/>
  <c r="D233" i="17"/>
  <c r="I44" i="4"/>
  <c r="D193" i="17"/>
  <c r="I43" i="4"/>
  <c r="V2" i="17"/>
  <c r="U2" i="17"/>
  <c r="T2" i="17"/>
  <c r="Z2" i="17"/>
  <c r="AA2" i="17"/>
  <c r="AB2" i="17"/>
  <c r="AC2" i="17"/>
  <c r="X2" i="17"/>
  <c r="W2" i="17"/>
  <c r="Y2" i="17"/>
  <c r="I208" i="17"/>
  <c r="I99" i="17"/>
  <c r="I125" i="17"/>
  <c r="I90" i="17"/>
  <c r="I290" i="17"/>
  <c r="I186" i="17"/>
  <c r="I304" i="17"/>
  <c r="I67" i="17"/>
  <c r="I337" i="17"/>
  <c r="I240" i="17"/>
  <c r="I154" i="17"/>
  <c r="I341" i="17"/>
  <c r="I48" i="17"/>
  <c r="I58" i="17"/>
  <c r="I4" i="17"/>
  <c r="I2" i="17"/>
  <c r="I323" i="17"/>
  <c r="I297" i="17"/>
  <c r="I157" i="17"/>
  <c r="I163" i="17"/>
  <c r="I221" i="17"/>
  <c r="I233" i="17"/>
  <c r="I272" i="17"/>
  <c r="I16" i="17"/>
  <c r="I131" i="17"/>
  <c r="I122" i="17"/>
  <c r="I177" i="17"/>
  <c r="I93" i="17"/>
  <c r="I176" i="17"/>
  <c r="I291" i="17"/>
  <c r="I35" i="17"/>
  <c r="I26" i="17"/>
  <c r="I317" i="17"/>
  <c r="I61" i="17"/>
  <c r="I144" i="17"/>
  <c r="I259" i="17"/>
  <c r="I3" i="17"/>
  <c r="I351" i="17"/>
  <c r="I29" i="17"/>
  <c r="I112" i="17"/>
  <c r="I227" i="17"/>
  <c r="I218" i="17"/>
  <c r="I237" i="17"/>
  <c r="I250" i="17"/>
  <c r="I336" i="17"/>
  <c r="I80" i="17"/>
  <c r="I195" i="17"/>
  <c r="I30" i="17"/>
  <c r="I310" i="17"/>
  <c r="I330" i="17"/>
  <c r="I89" i="17"/>
  <c r="I25" i="17"/>
  <c r="I268" i="17"/>
  <c r="I172" i="17"/>
  <c r="I44" i="17"/>
  <c r="I319" i="17"/>
  <c r="I255" i="17"/>
  <c r="I191" i="17"/>
  <c r="I159" i="17"/>
  <c r="I127" i="17"/>
  <c r="I63" i="17"/>
  <c r="I31" i="17"/>
  <c r="I246" i="17"/>
  <c r="I214" i="17"/>
  <c r="I182" i="17"/>
  <c r="I150" i="17"/>
  <c r="I118" i="17"/>
  <c r="I86" i="17"/>
  <c r="I54" i="17"/>
  <c r="I22" i="17"/>
  <c r="I347" i="17"/>
  <c r="I140" i="17"/>
  <c r="I362" i="17"/>
  <c r="I213" i="17"/>
  <c r="I322" i="17"/>
  <c r="I229" i="17"/>
  <c r="I365" i="17"/>
  <c r="I309" i="17"/>
  <c r="I265" i="17"/>
  <c r="I360" i="17"/>
  <c r="I285" i="17"/>
  <c r="I343" i="17"/>
  <c r="I334" i="17"/>
  <c r="I201" i="17"/>
  <c r="I149" i="17"/>
  <c r="I117" i="17"/>
  <c r="I85" i="17"/>
  <c r="I53" i="17"/>
  <c r="I21" i="17"/>
  <c r="I328" i="17"/>
  <c r="I296" i="17"/>
  <c r="I264" i="17"/>
  <c r="I232" i="17"/>
  <c r="I200" i="17"/>
  <c r="I168" i="17"/>
  <c r="I136" i="17"/>
  <c r="I104" i="17"/>
  <c r="I72" i="17"/>
  <c r="I40" i="17"/>
  <c r="I8" i="17"/>
  <c r="I315" i="17"/>
  <c r="I283" i="17"/>
  <c r="I251" i="17"/>
  <c r="I219" i="17"/>
  <c r="I187" i="17"/>
  <c r="I155" i="17"/>
  <c r="I123" i="17"/>
  <c r="I91" i="17"/>
  <c r="I59" i="17"/>
  <c r="I27" i="17"/>
  <c r="I242" i="17"/>
  <c r="I210" i="17"/>
  <c r="I178" i="17"/>
  <c r="I146" i="17"/>
  <c r="I114" i="17"/>
  <c r="I82" i="17"/>
  <c r="I50" i="17"/>
  <c r="I18" i="17"/>
  <c r="I262" i="17"/>
  <c r="I306" i="17"/>
  <c r="I217" i="17"/>
  <c r="I121" i="17"/>
  <c r="I57" i="17"/>
  <c r="I332" i="17"/>
  <c r="I204" i="17"/>
  <c r="I76" i="17"/>
  <c r="I12" i="17"/>
  <c r="I287" i="17"/>
  <c r="I223" i="17"/>
  <c r="I95" i="17"/>
  <c r="I333" i="17"/>
  <c r="I346" i="17"/>
  <c r="I254" i="17"/>
  <c r="I274" i="17"/>
  <c r="I313" i="17"/>
  <c r="I185" i="17"/>
  <c r="I145" i="17"/>
  <c r="I81" i="17"/>
  <c r="I49" i="17"/>
  <c r="I17" i="17"/>
  <c r="I324" i="17"/>
  <c r="I292" i="17"/>
  <c r="I260" i="17"/>
  <c r="I228" i="17"/>
  <c r="I164" i="17"/>
  <c r="I132" i="17"/>
  <c r="I100" i="17"/>
  <c r="I68" i="17"/>
  <c r="I36" i="17"/>
  <c r="I311" i="17"/>
  <c r="I279" i="17"/>
  <c r="I247" i="17"/>
  <c r="I215" i="17"/>
  <c r="I183" i="17"/>
  <c r="I151" i="17"/>
  <c r="I119" i="17"/>
  <c r="I87" i="17"/>
  <c r="I55" i="17"/>
  <c r="I23" i="17"/>
  <c r="I238" i="17"/>
  <c r="I206" i="17"/>
  <c r="I174" i="17"/>
  <c r="I142" i="17"/>
  <c r="I110" i="17"/>
  <c r="I78" i="17"/>
  <c r="I46" i="17"/>
  <c r="I14" i="17"/>
  <c r="I366" i="17"/>
  <c r="I358" i="17"/>
  <c r="I294" i="17"/>
  <c r="I361" i="17"/>
  <c r="I298" i="17"/>
  <c r="I356" i="17"/>
  <c r="I325" i="17"/>
  <c r="I113" i="17"/>
  <c r="I196" i="17"/>
  <c r="I305" i="17"/>
  <c r="I301" i="17"/>
  <c r="I189" i="17"/>
  <c r="I269" i="17"/>
  <c r="I357" i="17"/>
  <c r="I277" i="17"/>
  <c r="I241" i="17"/>
  <c r="I352" i="17"/>
  <c r="I253" i="17"/>
  <c r="I314" i="17"/>
  <c r="I302" i="17"/>
  <c r="I173" i="17"/>
  <c r="I141" i="17"/>
  <c r="I109" i="17"/>
  <c r="I77" i="17"/>
  <c r="I45" i="17"/>
  <c r="I13" i="17"/>
  <c r="I320" i="17"/>
  <c r="I288" i="17"/>
  <c r="I256" i="17"/>
  <c r="I224" i="17"/>
  <c r="I192" i="17"/>
  <c r="I160" i="17"/>
  <c r="I128" i="17"/>
  <c r="I96" i="17"/>
  <c r="I64" i="17"/>
  <c r="I32" i="17"/>
  <c r="I339" i="17"/>
  <c r="I307" i="17"/>
  <c r="I275" i="17"/>
  <c r="I243" i="17"/>
  <c r="I211" i="17"/>
  <c r="I179" i="17"/>
  <c r="I147" i="17"/>
  <c r="I115" i="17"/>
  <c r="I83" i="17"/>
  <c r="I51" i="17"/>
  <c r="I19" i="17"/>
  <c r="I234" i="17"/>
  <c r="I202" i="17"/>
  <c r="I170" i="17"/>
  <c r="I138" i="17"/>
  <c r="I106" i="17"/>
  <c r="I74" i="17"/>
  <c r="I42" i="17"/>
  <c r="I10" i="17"/>
  <c r="I257" i="17"/>
  <c r="I364" i="17"/>
  <c r="I300" i="17"/>
  <c r="I278" i="17"/>
  <c r="I273" i="17"/>
  <c r="I197" i="17"/>
  <c r="I342" i="17"/>
  <c r="I353" i="17"/>
  <c r="I266" i="17"/>
  <c r="I225" i="17"/>
  <c r="I348" i="17"/>
  <c r="I363" i="17"/>
  <c r="I293" i="17"/>
  <c r="I281" i="17"/>
  <c r="I169" i="17"/>
  <c r="I137" i="17"/>
  <c r="I105" i="17"/>
  <c r="I73" i="17"/>
  <c r="I41" i="17"/>
  <c r="I9" i="17"/>
  <c r="I316" i="17"/>
  <c r="I284" i="17"/>
  <c r="I252" i="17"/>
  <c r="I220" i="17"/>
  <c r="I188" i="17"/>
  <c r="I156" i="17"/>
  <c r="I124" i="17"/>
  <c r="I92" i="17"/>
  <c r="I60" i="17"/>
  <c r="I28" i="17"/>
  <c r="I335" i="17"/>
  <c r="I303" i="17"/>
  <c r="I271" i="17"/>
  <c r="I239" i="17"/>
  <c r="I207" i="17"/>
  <c r="I175" i="17"/>
  <c r="I143" i="17"/>
  <c r="I111" i="17"/>
  <c r="I79" i="17"/>
  <c r="I47" i="17"/>
  <c r="I15" i="17"/>
  <c r="I230" i="17"/>
  <c r="I198" i="17"/>
  <c r="I166" i="17"/>
  <c r="I134" i="17"/>
  <c r="I102" i="17"/>
  <c r="I70" i="17"/>
  <c r="I38" i="17"/>
  <c r="I6" i="17"/>
  <c r="I286" i="17"/>
  <c r="I108" i="17"/>
  <c r="I205" i="17"/>
  <c r="I245" i="17"/>
  <c r="I354" i="17"/>
  <c r="I289" i="17"/>
  <c r="I349" i="17"/>
  <c r="I329" i="17"/>
  <c r="I209" i="17"/>
  <c r="I344" i="17"/>
  <c r="I359" i="17"/>
  <c r="I282" i="17"/>
  <c r="I270" i="17"/>
  <c r="I165" i="17"/>
  <c r="I133" i="17"/>
  <c r="I101" i="17"/>
  <c r="I69" i="17"/>
  <c r="I37" i="17"/>
  <c r="I5" i="17"/>
  <c r="I312" i="17"/>
  <c r="I280" i="17"/>
  <c r="I248" i="17"/>
  <c r="I216" i="17"/>
  <c r="I184" i="17"/>
  <c r="I152" i="17"/>
  <c r="I120" i="17"/>
  <c r="I88" i="17"/>
  <c r="I56" i="17"/>
  <c r="I24" i="17"/>
  <c r="I331" i="17"/>
  <c r="I299" i="17"/>
  <c r="I267" i="17"/>
  <c r="I235" i="17"/>
  <c r="I203" i="17"/>
  <c r="I171" i="17"/>
  <c r="I139" i="17"/>
  <c r="I107" i="17"/>
  <c r="I75" i="17"/>
  <c r="I43" i="17"/>
  <c r="I11" i="17"/>
  <c r="I226" i="17"/>
  <c r="I194" i="17"/>
  <c r="I162" i="17"/>
  <c r="I130" i="17"/>
  <c r="I98" i="17"/>
  <c r="I66" i="17"/>
  <c r="I34" i="17"/>
  <c r="I181" i="17"/>
  <c r="I153" i="17"/>
  <c r="I236" i="17"/>
  <c r="I350" i="17"/>
  <c r="I326" i="17"/>
  <c r="I321" i="17"/>
  <c r="I258" i="17"/>
  <c r="I345" i="17"/>
  <c r="I318" i="17"/>
  <c r="I193" i="17"/>
  <c r="I338" i="17"/>
  <c r="I355" i="17"/>
  <c r="I261" i="17"/>
  <c r="I249" i="17"/>
  <c r="I161" i="17"/>
  <c r="I129" i="17"/>
  <c r="I97" i="17"/>
  <c r="I65" i="17"/>
  <c r="I33" i="17"/>
  <c r="I340" i="17"/>
  <c r="I308" i="17"/>
  <c r="I276" i="17"/>
  <c r="I244" i="17"/>
  <c r="I212" i="17"/>
  <c r="I180" i="17"/>
  <c r="I148" i="17"/>
  <c r="I116" i="17"/>
  <c r="I84" i="17"/>
  <c r="I52" i="17"/>
  <c r="I20" i="17"/>
  <c r="I327" i="17"/>
  <c r="I295" i="17"/>
  <c r="I263" i="17"/>
  <c r="I231" i="17"/>
  <c r="I199" i="17"/>
  <c r="I167" i="17"/>
  <c r="I135" i="17"/>
  <c r="I103" i="17"/>
  <c r="I71" i="17"/>
  <c r="I39" i="17"/>
  <c r="I7" i="17"/>
  <c r="I222" i="17"/>
  <c r="I190" i="17"/>
  <c r="I158" i="17"/>
  <c r="I126" i="17"/>
  <c r="I94" i="17"/>
  <c r="I62" i="17"/>
  <c r="D161" i="17"/>
  <c r="D160" i="17"/>
  <c r="D210" i="17"/>
  <c r="D194" i="17"/>
  <c r="D186" i="17"/>
  <c r="D209" i="17"/>
  <c r="D253" i="17"/>
  <c r="D263" i="17"/>
  <c r="D248" i="17"/>
  <c r="D267" i="17"/>
  <c r="D270" i="17"/>
  <c r="D254" i="17"/>
  <c r="D157" i="17"/>
  <c r="D178" i="17"/>
  <c r="D162" i="17"/>
  <c r="D177" i="17"/>
  <c r="D176" i="17"/>
  <c r="D174" i="17"/>
  <c r="D159" i="17"/>
  <c r="D175" i="17"/>
  <c r="D192" i="17"/>
  <c r="D201" i="17"/>
  <c r="D202" i="17"/>
  <c r="D199" i="17"/>
  <c r="D183" i="17"/>
  <c r="D200" i="17"/>
  <c r="D208" i="17"/>
  <c r="D184" i="17"/>
  <c r="D206" i="17"/>
  <c r="D207" i="17"/>
  <c r="D213" i="17"/>
  <c r="D191" i="17"/>
  <c r="D260" i="17"/>
  <c r="D154" i="17"/>
  <c r="D179" i="17"/>
  <c r="D166" i="17"/>
  <c r="D158" i="17"/>
  <c r="D180" i="17"/>
  <c r="D171" i="17"/>
  <c r="D169" i="17"/>
  <c r="D163" i="17"/>
  <c r="D181" i="17"/>
  <c r="D172" i="17"/>
  <c r="D155" i="17"/>
  <c r="D173" i="17"/>
  <c r="D164" i="17"/>
  <c r="D153" i="17"/>
  <c r="D165" i="17"/>
  <c r="D156" i="17"/>
  <c r="D170" i="17"/>
  <c r="D168" i="17"/>
  <c r="D182" i="17"/>
  <c r="D167" i="17"/>
  <c r="D256" i="17"/>
  <c r="D261" i="17"/>
  <c r="D189" i="17"/>
  <c r="D274" i="17"/>
  <c r="D272" i="17"/>
  <c r="D259" i="17"/>
  <c r="D198" i="17"/>
  <c r="D252" i="17"/>
  <c r="D251" i="17"/>
  <c r="D262" i="17"/>
  <c r="D190" i="17"/>
  <c r="D273" i="17"/>
  <c r="D246" i="17"/>
  <c r="D205" i="17"/>
  <c r="D255" i="17"/>
  <c r="D204" i="17"/>
  <c r="D264" i="17"/>
  <c r="D269" i="17"/>
  <c r="D197" i="17"/>
  <c r="D247" i="17"/>
  <c r="D203" i="17"/>
  <c r="D124" i="17"/>
  <c r="D146" i="17"/>
  <c r="D250" i="17"/>
  <c r="D149" i="17"/>
  <c r="D265" i="17"/>
  <c r="D220" i="17"/>
  <c r="D229" i="17"/>
  <c r="D224" i="17"/>
  <c r="D249" i="17"/>
  <c r="D138" i="17"/>
  <c r="D147" i="17"/>
  <c r="D141" i="17"/>
  <c r="D152" i="17"/>
  <c r="D139" i="17"/>
  <c r="D133" i="17"/>
  <c r="D144" i="17"/>
  <c r="D127" i="17"/>
  <c r="D131" i="17"/>
  <c r="D125" i="17"/>
  <c r="D136" i="17"/>
  <c r="D145" i="17"/>
  <c r="D123" i="17"/>
  <c r="D150" i="17"/>
  <c r="D128" i="17"/>
  <c r="D271" i="17"/>
  <c r="D148" i="17"/>
  <c r="D142" i="17"/>
  <c r="D151" i="17"/>
  <c r="D130" i="17"/>
  <c r="D137" i="17"/>
  <c r="D129" i="17"/>
  <c r="D140" i="17"/>
  <c r="D134" i="17"/>
  <c r="D143" i="17"/>
  <c r="D257" i="17"/>
  <c r="D132" i="17"/>
  <c r="D126" i="17"/>
  <c r="D135" i="17"/>
  <c r="D216" i="17"/>
  <c r="D221" i="17"/>
  <c r="D243" i="17"/>
  <c r="D239" i="17"/>
  <c r="D235" i="17"/>
  <c r="D231" i="17"/>
  <c r="D238" i="17"/>
  <c r="D227" i="17"/>
  <c r="D223" i="17"/>
  <c r="D230" i="17"/>
  <c r="D219" i="17"/>
  <c r="D218" i="17"/>
  <c r="D215" i="17"/>
  <c r="D222" i="17"/>
  <c r="D217" i="17"/>
  <c r="D240" i="17"/>
  <c r="D214" i="17"/>
  <c r="D266" i="17"/>
  <c r="D232" i="17"/>
  <c r="D237" i="17"/>
  <c r="D258" i="17"/>
  <c r="D211" i="17"/>
  <c r="D225" i="17"/>
  <c r="D195" i="17"/>
  <c r="D242" i="17"/>
  <c r="D187" i="17"/>
  <c r="D234" i="17"/>
  <c r="D212" i="17"/>
  <c r="D226" i="17"/>
  <c r="D236" i="17"/>
  <c r="D196" i="17"/>
  <c r="D241" i="17"/>
  <c r="D228" i="17"/>
  <c r="G5" i="17"/>
  <c r="G12" i="17"/>
  <c r="G11" i="17"/>
  <c r="G8" i="17"/>
  <c r="G14" i="17"/>
  <c r="G19" i="17"/>
  <c r="G23" i="17"/>
  <c r="G27" i="17"/>
  <c r="G31" i="17"/>
  <c r="G16" i="17"/>
  <c r="G20" i="17"/>
  <c r="G24" i="17"/>
  <c r="G28" i="17"/>
  <c r="G32" i="17"/>
  <c r="G10" i="17"/>
  <c r="G6" i="17"/>
  <c r="G9" i="17"/>
  <c r="G7" i="17"/>
  <c r="G4" i="17"/>
  <c r="G13" i="17"/>
  <c r="G17" i="17"/>
  <c r="G21" i="17"/>
  <c r="G25" i="17"/>
  <c r="G29" i="17"/>
  <c r="G15" i="17"/>
  <c r="G18" i="17"/>
  <c r="G22" i="17"/>
  <c r="G26" i="17"/>
  <c r="G30" i="17"/>
  <c r="G52" i="17"/>
  <c r="G60" i="17"/>
  <c r="G56" i="17"/>
  <c r="G35" i="17"/>
  <c r="G58" i="17"/>
  <c r="G50" i="17"/>
  <c r="G42" i="17"/>
  <c r="G34" i="17"/>
  <c r="G53" i="17"/>
  <c r="G45" i="17"/>
  <c r="G37" i="17"/>
  <c r="G59" i="17"/>
  <c r="G51" i="17"/>
  <c r="G43" i="17"/>
  <c r="G36" i="17"/>
  <c r="G44" i="17"/>
  <c r="G40" i="17"/>
  <c r="G48" i="17"/>
  <c r="G54" i="17"/>
  <c r="G46" i="17"/>
  <c r="G38" i="17"/>
  <c r="G57" i="17"/>
  <c r="G49" i="17"/>
  <c r="G41" i="17"/>
  <c r="G33" i="17"/>
  <c r="G55" i="17"/>
  <c r="G47" i="17"/>
  <c r="G39" i="17"/>
  <c r="AC3" i="17" l="1"/>
  <c r="U3" i="17"/>
  <c r="U4" i="17" s="1"/>
  <c r="U5" i="17" s="1"/>
  <c r="U6" i="17" s="1"/>
  <c r="U7" i="17" s="1"/>
  <c r="U8" i="17" s="1"/>
  <c r="U9" i="17" s="1"/>
  <c r="U10" i="17" s="1"/>
  <c r="U11" i="17" s="1"/>
  <c r="U12" i="17" s="1"/>
  <c r="U13" i="17" s="1"/>
  <c r="U14" i="17" s="1"/>
  <c r="U15" i="17" s="1"/>
  <c r="U16" i="17" s="1"/>
  <c r="U17" i="17" s="1"/>
  <c r="U18" i="17" s="1"/>
  <c r="U19" i="17" s="1"/>
  <c r="U20" i="17" s="1"/>
  <c r="U21" i="17" s="1"/>
  <c r="U22" i="17" s="1"/>
  <c r="U23" i="17" s="1"/>
  <c r="U24" i="17" s="1"/>
  <c r="U25" i="17" s="1"/>
  <c r="U26" i="17" s="1"/>
  <c r="U27" i="17" s="1"/>
  <c r="U28" i="17" s="1"/>
  <c r="U29" i="17" s="1"/>
  <c r="U30" i="17" s="1"/>
  <c r="U31" i="17" s="1"/>
  <c r="U32" i="17" s="1"/>
  <c r="U33" i="17" s="1"/>
  <c r="U34" i="17" s="1"/>
  <c r="U35" i="17" s="1"/>
  <c r="U36" i="17" s="1"/>
  <c r="U37" i="17" s="1"/>
  <c r="U38" i="17" s="1"/>
  <c r="U39" i="17" s="1"/>
  <c r="U40" i="17" s="1"/>
  <c r="U41" i="17" s="1"/>
  <c r="U42" i="17" s="1"/>
  <c r="U43" i="17" s="1"/>
  <c r="U44" i="17" s="1"/>
  <c r="U45" i="17" s="1"/>
  <c r="U46" i="17" s="1"/>
  <c r="U47" i="17" s="1"/>
  <c r="U48" i="17" s="1"/>
  <c r="U49" i="17" s="1"/>
  <c r="U50" i="17" s="1"/>
  <c r="U51" i="17" s="1"/>
  <c r="U52" i="17" s="1"/>
  <c r="U53" i="17" s="1"/>
  <c r="U54" i="17" s="1"/>
  <c r="U55" i="17" s="1"/>
  <c r="U56" i="17" s="1"/>
  <c r="U57" i="17" s="1"/>
  <c r="U58" i="17" s="1"/>
  <c r="U59" i="17" s="1"/>
  <c r="U60" i="17" s="1"/>
  <c r="V3" i="17"/>
  <c r="V4" i="17" s="1"/>
  <c r="V5" i="17" s="1"/>
  <c r="V6" i="17" s="1"/>
  <c r="V7" i="17" s="1"/>
  <c r="V8" i="17" s="1"/>
  <c r="V9" i="17" s="1"/>
  <c r="V10" i="17" s="1"/>
  <c r="V11" i="17" s="1"/>
  <c r="V12" i="17" s="1"/>
  <c r="V13" i="17" s="1"/>
  <c r="V14" i="17" s="1"/>
  <c r="V15" i="17" s="1"/>
  <c r="V16" i="17" s="1"/>
  <c r="V17" i="17" s="1"/>
  <c r="V18" i="17" s="1"/>
  <c r="V19" i="17" s="1"/>
  <c r="V20" i="17" s="1"/>
  <c r="V21" i="17" s="1"/>
  <c r="V22" i="17" s="1"/>
  <c r="V23" i="17" s="1"/>
  <c r="V24" i="17" s="1"/>
  <c r="V25" i="17" s="1"/>
  <c r="V26" i="17" s="1"/>
  <c r="V27" i="17" s="1"/>
  <c r="V28" i="17" s="1"/>
  <c r="V29" i="17" s="1"/>
  <c r="V30" i="17" s="1"/>
  <c r="V31" i="17" s="1"/>
  <c r="V32" i="17" s="1"/>
  <c r="V33" i="17" s="1"/>
  <c r="V34" i="17" s="1"/>
  <c r="V35" i="17" s="1"/>
  <c r="V36" i="17" s="1"/>
  <c r="V37" i="17" s="1"/>
  <c r="V38" i="17" s="1"/>
  <c r="V39" i="17" s="1"/>
  <c r="V40" i="17" s="1"/>
  <c r="V41" i="17" s="1"/>
  <c r="V42" i="17" s="1"/>
  <c r="V43" i="17" s="1"/>
  <c r="V44" i="17" s="1"/>
  <c r="V45" i="17" s="1"/>
  <c r="V46" i="17" s="1"/>
  <c r="V47" i="17" s="1"/>
  <c r="V48" i="17" s="1"/>
  <c r="V49" i="17" s="1"/>
  <c r="V50" i="17" s="1"/>
  <c r="V51" i="17" s="1"/>
  <c r="V52" i="17" s="1"/>
  <c r="V53" i="17" s="1"/>
  <c r="V54" i="17" s="1"/>
  <c r="V55" i="17" s="1"/>
  <c r="V56" i="17" s="1"/>
  <c r="V57" i="17" s="1"/>
  <c r="V58" i="17" s="1"/>
  <c r="V59" i="17" s="1"/>
  <c r="V60" i="17" s="1"/>
  <c r="X3" i="17"/>
  <c r="X4" i="17" s="1"/>
  <c r="X5" i="17" s="1"/>
  <c r="X6" i="17" s="1"/>
  <c r="X7" i="17" s="1"/>
  <c r="X8" i="17" s="1"/>
  <c r="X9" i="17" s="1"/>
  <c r="X10" i="17" s="1"/>
  <c r="X11" i="17" s="1"/>
  <c r="X12" i="17" s="1"/>
  <c r="X13" i="17" s="1"/>
  <c r="X14" i="17" s="1"/>
  <c r="X15" i="17" s="1"/>
  <c r="X16" i="17" s="1"/>
  <c r="X17" i="17" s="1"/>
  <c r="X18" i="17" s="1"/>
  <c r="X19" i="17" s="1"/>
  <c r="X20" i="17" s="1"/>
  <c r="X21" i="17" s="1"/>
  <c r="X22" i="17" s="1"/>
  <c r="X23" i="17" s="1"/>
  <c r="X24" i="17" s="1"/>
  <c r="X25" i="17" s="1"/>
  <c r="X26" i="17" s="1"/>
  <c r="X27" i="17" s="1"/>
  <c r="X28" i="17" s="1"/>
  <c r="X29" i="17" s="1"/>
  <c r="X30" i="17" s="1"/>
  <c r="X31" i="17" s="1"/>
  <c r="X32" i="17" s="1"/>
  <c r="X33" i="17" s="1"/>
  <c r="X34" i="17" s="1"/>
  <c r="X35" i="17" s="1"/>
  <c r="X36" i="17" s="1"/>
  <c r="X37" i="17" s="1"/>
  <c r="X38" i="17" s="1"/>
  <c r="X39" i="17" s="1"/>
  <c r="X40" i="17" s="1"/>
  <c r="X41" i="17" s="1"/>
  <c r="X42" i="17" s="1"/>
  <c r="X43" i="17" s="1"/>
  <c r="X44" i="17" s="1"/>
  <c r="X45" i="17" s="1"/>
  <c r="X46" i="17" s="1"/>
  <c r="X47" i="17" s="1"/>
  <c r="X48" i="17" s="1"/>
  <c r="X49" i="17" s="1"/>
  <c r="X50" i="17" s="1"/>
  <c r="X51" i="17" s="1"/>
  <c r="X52" i="17" s="1"/>
  <c r="X53" i="17" s="1"/>
  <c r="X54" i="17" s="1"/>
  <c r="X55" i="17" s="1"/>
  <c r="X56" i="17" s="1"/>
  <c r="X57" i="17" s="1"/>
  <c r="X58" i="17" s="1"/>
  <c r="X59" i="17" s="1"/>
  <c r="X60" i="17" s="1"/>
  <c r="AB3" i="17"/>
  <c r="AB4" i="17" s="1"/>
  <c r="AB5" i="17" s="1"/>
  <c r="AB6" i="17" s="1"/>
  <c r="AB7" i="17" s="1"/>
  <c r="AB8" i="17" s="1"/>
  <c r="AB9" i="17" s="1"/>
  <c r="AB10" i="17" s="1"/>
  <c r="AB11" i="17" s="1"/>
  <c r="AB12" i="17" s="1"/>
  <c r="AB13" i="17" s="1"/>
  <c r="AB14" i="17" s="1"/>
  <c r="AB15" i="17" s="1"/>
  <c r="AB16" i="17" s="1"/>
  <c r="AB17" i="17" s="1"/>
  <c r="AB18" i="17" s="1"/>
  <c r="AB19" i="17" s="1"/>
  <c r="AB20" i="17" s="1"/>
  <c r="AB21" i="17" s="1"/>
  <c r="AB22" i="17" s="1"/>
  <c r="AB23" i="17" s="1"/>
  <c r="AB24" i="17" s="1"/>
  <c r="AB25" i="17" s="1"/>
  <c r="AB26" i="17" s="1"/>
  <c r="AB27" i="17" s="1"/>
  <c r="AB28" i="17" s="1"/>
  <c r="AB29" i="17" s="1"/>
  <c r="AB30" i="17" s="1"/>
  <c r="AB31" i="17" s="1"/>
  <c r="AB32" i="17" s="1"/>
  <c r="AB33" i="17" s="1"/>
  <c r="AB34" i="17" s="1"/>
  <c r="AB35" i="17" s="1"/>
  <c r="AB36" i="17" s="1"/>
  <c r="AB37" i="17" s="1"/>
  <c r="AB38" i="17" s="1"/>
  <c r="AB39" i="17" s="1"/>
  <c r="AB40" i="17" s="1"/>
  <c r="AB41" i="17" s="1"/>
  <c r="AB42" i="17" s="1"/>
  <c r="AB43" i="17" s="1"/>
  <c r="AB44" i="17" s="1"/>
  <c r="AB45" i="17" s="1"/>
  <c r="AB46" i="17" s="1"/>
  <c r="AB47" i="17" s="1"/>
  <c r="AB48" i="17" s="1"/>
  <c r="AB49" i="17" s="1"/>
  <c r="AB50" i="17" s="1"/>
  <c r="AB51" i="17" s="1"/>
  <c r="AB52" i="17" s="1"/>
  <c r="AB53" i="17" s="1"/>
  <c r="AB54" i="17" s="1"/>
  <c r="AB55" i="17" s="1"/>
  <c r="AB56" i="17" s="1"/>
  <c r="AB57" i="17" s="1"/>
  <c r="AB58" i="17" s="1"/>
  <c r="AB59" i="17" s="1"/>
  <c r="AB60" i="17" s="1"/>
  <c r="AA3" i="17"/>
  <c r="Y3" i="17"/>
  <c r="T3" i="17"/>
  <c r="T4" i="17" s="1"/>
  <c r="T5" i="17" s="1"/>
  <c r="T6" i="17" s="1"/>
  <c r="T7" i="17" s="1"/>
  <c r="T8" i="17" s="1"/>
  <c r="T9" i="17" s="1"/>
  <c r="T10" i="17" s="1"/>
  <c r="T11" i="17" s="1"/>
  <c r="T12" i="17" s="1"/>
  <c r="T13" i="17" s="1"/>
  <c r="T14" i="17" s="1"/>
  <c r="T15" i="17" s="1"/>
  <c r="T16" i="17" s="1"/>
  <c r="T17" i="17" s="1"/>
  <c r="T18" i="17" s="1"/>
  <c r="T19" i="17" s="1"/>
  <c r="T20" i="17" s="1"/>
  <c r="T21" i="17" s="1"/>
  <c r="T22" i="17" s="1"/>
  <c r="T23" i="17" s="1"/>
  <c r="T24" i="17" s="1"/>
  <c r="T25" i="17" s="1"/>
  <c r="T26" i="17" s="1"/>
  <c r="T27" i="17" s="1"/>
  <c r="T28" i="17" s="1"/>
  <c r="T29" i="17" s="1"/>
  <c r="T30" i="17" s="1"/>
  <c r="T31" i="17" s="1"/>
  <c r="T32" i="17" s="1"/>
  <c r="T33" i="17" s="1"/>
  <c r="T34" i="17" s="1"/>
  <c r="T35" i="17" s="1"/>
  <c r="T36" i="17" s="1"/>
  <c r="T37" i="17" s="1"/>
  <c r="T38" i="17" s="1"/>
  <c r="T39" i="17" s="1"/>
  <c r="T40" i="17" s="1"/>
  <c r="T41" i="17" s="1"/>
  <c r="T42" i="17" s="1"/>
  <c r="T43" i="17" s="1"/>
  <c r="T44" i="17" s="1"/>
  <c r="T45" i="17" s="1"/>
  <c r="T46" i="17" s="1"/>
  <c r="T47" i="17" s="1"/>
  <c r="T48" i="17" s="1"/>
  <c r="T49" i="17" s="1"/>
  <c r="T50" i="17" s="1"/>
  <c r="T51" i="17" s="1"/>
  <c r="T52" i="17" s="1"/>
  <c r="T53" i="17" s="1"/>
  <c r="T54" i="17" s="1"/>
  <c r="T55" i="17" s="1"/>
  <c r="T56" i="17" s="1"/>
  <c r="T57" i="17" s="1"/>
  <c r="T58" i="17" s="1"/>
  <c r="T59" i="17" s="1"/>
  <c r="T60" i="17" s="1"/>
  <c r="W3" i="17"/>
  <c r="Z3" i="17"/>
  <c r="Z4" i="17" s="1"/>
  <c r="Z5" i="17" s="1"/>
  <c r="Z6" i="17" s="1"/>
  <c r="Z7" i="17" s="1"/>
  <c r="Z8" i="17" s="1"/>
  <c r="Z9" i="17" s="1"/>
  <c r="Z10" i="17" s="1"/>
  <c r="Z11" i="17" s="1"/>
  <c r="Z12" i="17" s="1"/>
  <c r="Z13" i="17" s="1"/>
  <c r="Z14" i="17" s="1"/>
  <c r="Z15" i="17" s="1"/>
  <c r="Z16" i="17" s="1"/>
  <c r="Z17" i="17" s="1"/>
  <c r="Z18" i="17" s="1"/>
  <c r="Z19" i="17" s="1"/>
  <c r="Z20" i="17" s="1"/>
  <c r="Z21" i="17" s="1"/>
  <c r="Z22" i="17" s="1"/>
  <c r="Z23" i="17" s="1"/>
  <c r="Z24" i="17" s="1"/>
  <c r="Z25" i="17" s="1"/>
  <c r="Z26" i="17" s="1"/>
  <c r="Z27" i="17" s="1"/>
  <c r="Z28" i="17" s="1"/>
  <c r="Z29" i="17" s="1"/>
  <c r="Z30" i="17" s="1"/>
  <c r="Z31" i="17" s="1"/>
  <c r="Z32" i="17" s="1"/>
  <c r="Z33" i="17" s="1"/>
  <c r="Z34" i="17" s="1"/>
  <c r="Z35" i="17" s="1"/>
  <c r="Z36" i="17" s="1"/>
  <c r="Z37" i="17" s="1"/>
  <c r="Z38" i="17" s="1"/>
  <c r="Z39" i="17" s="1"/>
  <c r="Z40" i="17" s="1"/>
  <c r="Z41" i="17" s="1"/>
  <c r="Z42" i="17" s="1"/>
  <c r="Z43" i="17" s="1"/>
  <c r="Z44" i="17" s="1"/>
  <c r="Z45" i="17" s="1"/>
  <c r="Z46" i="17" s="1"/>
  <c r="Z47" i="17" s="1"/>
  <c r="Z48" i="17" s="1"/>
  <c r="Z49" i="17" s="1"/>
  <c r="Z50" i="17" s="1"/>
  <c r="Z51" i="17" s="1"/>
  <c r="Z52" i="17" s="1"/>
  <c r="Z53" i="17" s="1"/>
  <c r="Z54" i="17" s="1"/>
  <c r="Z55" i="17" s="1"/>
  <c r="Z56" i="17" s="1"/>
  <c r="Z57" i="17" s="1"/>
  <c r="Z58" i="17" s="1"/>
  <c r="Z59" i="17" s="1"/>
  <c r="Z60" i="17" s="1"/>
  <c r="L10" i="5"/>
  <c r="J10" i="5"/>
  <c r="H10" i="5"/>
  <c r="F10" i="5"/>
  <c r="M10" i="5"/>
  <c r="K10" i="5"/>
  <c r="I10" i="5"/>
  <c r="G10" i="5"/>
  <c r="AD9" i="4"/>
  <c r="AC9" i="4"/>
  <c r="AB9" i="4"/>
  <c r="AD8" i="4"/>
  <c r="AC8" i="4"/>
  <c r="AD6" i="4"/>
  <c r="AC6" i="4"/>
  <c r="AB6" i="4"/>
  <c r="AD5" i="4"/>
  <c r="AC5" i="4"/>
  <c r="AB5" i="4"/>
  <c r="AD4" i="4"/>
  <c r="AC4" i="4"/>
  <c r="AB4" i="4"/>
  <c r="BM1" i="4"/>
  <c r="BL1" i="4"/>
  <c r="BK1" i="4"/>
  <c r="BJ1" i="4"/>
  <c r="BI1" i="4"/>
  <c r="BH1" i="4"/>
  <c r="BG1" i="4"/>
  <c r="BF1" i="4"/>
  <c r="BE1" i="4"/>
  <c r="BD1" i="4"/>
  <c r="BC1" i="4"/>
  <c r="BB1" i="4"/>
  <c r="AC4" i="17" l="1"/>
  <c r="AC5" i="17" s="1"/>
  <c r="AC6" i="17" s="1"/>
  <c r="AC7" i="17" s="1"/>
  <c r="AC8" i="17" s="1"/>
  <c r="AC9" i="17" s="1"/>
  <c r="AC10" i="17" s="1"/>
  <c r="AC11" i="17" s="1"/>
  <c r="AC12" i="17" s="1"/>
  <c r="AC13" i="17" s="1"/>
  <c r="AC14" i="17" s="1"/>
  <c r="AC15" i="17" s="1"/>
  <c r="AC16" i="17" s="1"/>
  <c r="AC17" i="17" s="1"/>
  <c r="AC18" i="17" s="1"/>
  <c r="AC19" i="17" s="1"/>
  <c r="AC20" i="17" s="1"/>
  <c r="AC21" i="17" s="1"/>
  <c r="AC22" i="17" s="1"/>
  <c r="AC23" i="17" s="1"/>
  <c r="AC24" i="17" s="1"/>
  <c r="AC25" i="17" s="1"/>
  <c r="AC26" i="17" s="1"/>
  <c r="AC27" i="17" s="1"/>
  <c r="AC28" i="17" s="1"/>
  <c r="AC29" i="17" s="1"/>
  <c r="AC30" i="17" s="1"/>
  <c r="AC31" i="17" s="1"/>
  <c r="AC32" i="17" s="1"/>
  <c r="AC33" i="17" s="1"/>
  <c r="AC34" i="17" s="1"/>
  <c r="AC35" i="17" s="1"/>
  <c r="AC36" i="17" s="1"/>
  <c r="AC37" i="17" s="1"/>
  <c r="AC38" i="17" s="1"/>
  <c r="AC39" i="17" s="1"/>
  <c r="AC40" i="17" s="1"/>
  <c r="AC41" i="17" s="1"/>
  <c r="AC42" i="17" s="1"/>
  <c r="AC43" i="17" s="1"/>
  <c r="AC44" i="17" s="1"/>
  <c r="AC45" i="17" s="1"/>
  <c r="AC46" i="17" s="1"/>
  <c r="AC47" i="17" s="1"/>
  <c r="AC48" i="17" s="1"/>
  <c r="AC49" i="17" s="1"/>
  <c r="AC50" i="17" s="1"/>
  <c r="AC51" i="17" s="1"/>
  <c r="AC52" i="17" s="1"/>
  <c r="AC53" i="17" s="1"/>
  <c r="AC54" i="17" s="1"/>
  <c r="AC55" i="17" s="1"/>
  <c r="AC56" i="17" s="1"/>
  <c r="AC57" i="17" s="1"/>
  <c r="AC58" i="17" s="1"/>
  <c r="AC59" i="17" s="1"/>
  <c r="AC60" i="17" s="1"/>
  <c r="AA4" i="17"/>
  <c r="W4" i="17"/>
  <c r="Y4" i="17"/>
  <c r="X8" i="4"/>
  <c r="Y8" i="4"/>
  <c r="Y5" i="17" l="1"/>
  <c r="Y6" i="17" s="1"/>
  <c r="Y7" i="17" s="1"/>
  <c r="Y8" i="17" s="1"/>
  <c r="Y9" i="17" s="1"/>
  <c r="Y10" i="17" s="1"/>
  <c r="Y11" i="17" s="1"/>
  <c r="Y12" i="17" s="1"/>
  <c r="Y13" i="17" s="1"/>
  <c r="Y14" i="17" s="1"/>
  <c r="Y15" i="17" s="1"/>
  <c r="Y16" i="17" s="1"/>
  <c r="Y17" i="17" s="1"/>
  <c r="Y18" i="17" s="1"/>
  <c r="Y19" i="17" s="1"/>
  <c r="Y20" i="17" s="1"/>
  <c r="Y21" i="17" s="1"/>
  <c r="Y22" i="17" s="1"/>
  <c r="Y23" i="17" s="1"/>
  <c r="Y24" i="17" s="1"/>
  <c r="Y25" i="17" s="1"/>
  <c r="Y26" i="17" s="1"/>
  <c r="Y27" i="17" s="1"/>
  <c r="Y28" i="17" s="1"/>
  <c r="Y29" i="17" s="1"/>
  <c r="Y30" i="17" s="1"/>
  <c r="Y31" i="17" s="1"/>
  <c r="Y32" i="17" s="1"/>
  <c r="Y33" i="17" s="1"/>
  <c r="Y34" i="17" s="1"/>
  <c r="Y35" i="17" s="1"/>
  <c r="Y36" i="17" s="1"/>
  <c r="Y37" i="17" s="1"/>
  <c r="Y38" i="17" s="1"/>
  <c r="Y39" i="17" s="1"/>
  <c r="Y40" i="17" s="1"/>
  <c r="Y41" i="17" s="1"/>
  <c r="Y42" i="17" s="1"/>
  <c r="Y43" i="17" s="1"/>
  <c r="Y44" i="17" s="1"/>
  <c r="Y45" i="17" s="1"/>
  <c r="Y46" i="17" s="1"/>
  <c r="Y47" i="17" s="1"/>
  <c r="Y48" i="17" s="1"/>
  <c r="Y49" i="17" s="1"/>
  <c r="Y50" i="17" s="1"/>
  <c r="Y51" i="17" s="1"/>
  <c r="Y52" i="17" s="1"/>
  <c r="Y53" i="17" s="1"/>
  <c r="Y54" i="17" s="1"/>
  <c r="Y55" i="17" s="1"/>
  <c r="Y56" i="17" s="1"/>
  <c r="Y57" i="17" s="1"/>
  <c r="Y58" i="17" s="1"/>
  <c r="Y59" i="17" s="1"/>
  <c r="Y60" i="17" s="1"/>
  <c r="AA5" i="17"/>
  <c r="AA6" i="17" s="1"/>
  <c r="AA7" i="17" s="1"/>
  <c r="AA8" i="17" s="1"/>
  <c r="AA9" i="17" s="1"/>
  <c r="AA10" i="17" s="1"/>
  <c r="AA11" i="17" s="1"/>
  <c r="AA12" i="17" s="1"/>
  <c r="AA13" i="17" s="1"/>
  <c r="AA14" i="17" s="1"/>
  <c r="AA15" i="17" s="1"/>
  <c r="AA16" i="17" s="1"/>
  <c r="AA17" i="17" s="1"/>
  <c r="AA18" i="17" s="1"/>
  <c r="AA19" i="17" s="1"/>
  <c r="AA20" i="17" s="1"/>
  <c r="AA21" i="17" s="1"/>
  <c r="AA22" i="17" s="1"/>
  <c r="AA23" i="17" s="1"/>
  <c r="AA24" i="17" s="1"/>
  <c r="AA25" i="17" s="1"/>
  <c r="AA26" i="17" s="1"/>
  <c r="AA27" i="17" s="1"/>
  <c r="AA28" i="17" s="1"/>
  <c r="AA29" i="17" s="1"/>
  <c r="AA30" i="17" s="1"/>
  <c r="AA31" i="17" s="1"/>
  <c r="AA32" i="17" s="1"/>
  <c r="AA33" i="17" s="1"/>
  <c r="AA34" i="17" s="1"/>
  <c r="AA35" i="17" s="1"/>
  <c r="AA36" i="17" s="1"/>
  <c r="AA37" i="17" s="1"/>
  <c r="AA38" i="17" s="1"/>
  <c r="AA39" i="17" s="1"/>
  <c r="AA40" i="17" s="1"/>
  <c r="AA41" i="17" s="1"/>
  <c r="AA42" i="17" s="1"/>
  <c r="AA43" i="17" s="1"/>
  <c r="AA44" i="17" s="1"/>
  <c r="AA45" i="17" s="1"/>
  <c r="AA46" i="17" s="1"/>
  <c r="AA47" i="17" s="1"/>
  <c r="AA48" i="17" s="1"/>
  <c r="AA49" i="17" s="1"/>
  <c r="AA50" i="17" s="1"/>
  <c r="AA51" i="17" s="1"/>
  <c r="AA52" i="17" s="1"/>
  <c r="AA53" i="17" s="1"/>
  <c r="AA54" i="17" s="1"/>
  <c r="AA55" i="17" s="1"/>
  <c r="AA56" i="17" s="1"/>
  <c r="AA57" i="17" s="1"/>
  <c r="AA58" i="17" s="1"/>
  <c r="AA59" i="17" s="1"/>
  <c r="AA60" i="17" s="1"/>
  <c r="W5" i="17"/>
  <c r="W6" i="17" s="1"/>
  <c r="W7" i="17" s="1"/>
  <c r="W8" i="17" s="1"/>
  <c r="W9" i="17" s="1"/>
  <c r="W10" i="17" s="1"/>
  <c r="W11" i="17" s="1"/>
  <c r="W12" i="17" s="1"/>
  <c r="W13" i="17" s="1"/>
  <c r="W14" i="17" s="1"/>
  <c r="W15" i="17" s="1"/>
  <c r="W16" i="17" s="1"/>
  <c r="W17" i="17" s="1"/>
  <c r="W18" i="17" s="1"/>
  <c r="W19" i="17" s="1"/>
  <c r="W20" i="17" s="1"/>
  <c r="W21" i="17" s="1"/>
  <c r="W22" i="17" s="1"/>
  <c r="W23" i="17" s="1"/>
  <c r="W24" i="17" s="1"/>
  <c r="W25" i="17" s="1"/>
  <c r="W26" i="17" s="1"/>
  <c r="W27" i="17" s="1"/>
  <c r="W28" i="17" s="1"/>
  <c r="W29" i="17" s="1"/>
  <c r="W30" i="17" s="1"/>
  <c r="W31" i="17" s="1"/>
  <c r="W32" i="17" s="1"/>
  <c r="W33" i="17" s="1"/>
  <c r="W34" i="17" s="1"/>
  <c r="W35" i="17" s="1"/>
  <c r="W36" i="17" s="1"/>
  <c r="W37" i="17" s="1"/>
  <c r="W38" i="17" s="1"/>
  <c r="W39" i="17" s="1"/>
  <c r="W40" i="17" s="1"/>
  <c r="W41" i="17" s="1"/>
  <c r="W42" i="17" s="1"/>
  <c r="W43" i="17" s="1"/>
  <c r="W44" i="17" s="1"/>
  <c r="W45" i="17" s="1"/>
  <c r="W46" i="17" s="1"/>
  <c r="W47" i="17" s="1"/>
  <c r="W48" i="17" s="1"/>
  <c r="W49" i="17" s="1"/>
  <c r="W50" i="17" s="1"/>
  <c r="W51" i="17" s="1"/>
  <c r="W52" i="17" s="1"/>
  <c r="W53" i="17" s="1"/>
  <c r="W54" i="17" s="1"/>
  <c r="W55" i="17" s="1"/>
  <c r="W56" i="17" s="1"/>
  <c r="W57" i="17" s="1"/>
  <c r="W58" i="17" s="1"/>
  <c r="W59" i="17" s="1"/>
  <c r="W60" i="17" s="1"/>
  <c r="AB8" i="4"/>
  <c r="W8" i="4" s="1"/>
  <c r="R34" i="16" l="1"/>
  <c r="AA34" i="16" s="1"/>
  <c r="AJ34" i="16" s="1"/>
  <c r="R49" i="16"/>
  <c r="AA49" i="16" s="1"/>
  <c r="R38" i="16"/>
  <c r="AA38" i="16" s="1"/>
  <c r="AJ38" i="16" s="1"/>
  <c r="R40" i="16"/>
  <c r="AA40" i="16" s="1"/>
  <c r="AJ40" i="16" s="1"/>
  <c r="R35" i="16"/>
  <c r="AA35" i="16" s="1"/>
  <c r="AJ35" i="16" s="1"/>
  <c r="R42" i="16"/>
  <c r="AA42" i="16" s="1"/>
  <c r="AJ42" i="16" s="1"/>
  <c r="R41" i="16"/>
  <c r="AA41" i="16" s="1"/>
  <c r="AJ41" i="16" s="1"/>
  <c r="R47" i="16"/>
  <c r="AA47" i="16" s="1"/>
  <c r="R36" i="16"/>
  <c r="AA36" i="16" s="1"/>
  <c r="AJ36" i="16" s="1"/>
  <c r="R32" i="16"/>
  <c r="AA32" i="16" s="1"/>
  <c r="AJ32" i="16" s="1"/>
  <c r="R39" i="16"/>
  <c r="AA39" i="16" s="1"/>
  <c r="AJ39" i="16" s="1"/>
  <c r="R43" i="16"/>
  <c r="AA43" i="16" s="1"/>
  <c r="AJ43" i="16" s="1"/>
  <c r="R50" i="16"/>
  <c r="AA50" i="16" s="1"/>
  <c r="R31" i="16"/>
  <c r="AA31" i="16" s="1"/>
  <c r="AJ31" i="16" s="1"/>
  <c r="R37" i="16"/>
  <c r="AA37" i="16" s="1"/>
  <c r="AJ37" i="16" s="1"/>
  <c r="R48" i="16"/>
  <c r="AA48" i="16" s="1"/>
  <c r="R45" i="16"/>
  <c r="AA45" i="16" s="1"/>
  <c r="AJ45" i="16" s="1"/>
  <c r="R46" i="16"/>
  <c r="AA46" i="16" s="1"/>
  <c r="R44" i="16"/>
  <c r="AA44" i="16" s="1"/>
  <c r="AJ44" i="16" s="1"/>
  <c r="R33" i="16"/>
  <c r="AA33" i="16" s="1"/>
  <c r="AJ33" i="16" s="1"/>
  <c r="AW33" i="16" l="1"/>
  <c r="AU33" i="16"/>
  <c r="AV33" i="16"/>
  <c r="AV43" i="16"/>
  <c r="AW43" i="16"/>
  <c r="AU43" i="16"/>
  <c r="AU40" i="16"/>
  <c r="AV40" i="16"/>
  <c r="AW40" i="16"/>
  <c r="AU44" i="16"/>
  <c r="AV44" i="16"/>
  <c r="AW44" i="16"/>
  <c r="AU39" i="16"/>
  <c r="AV39" i="16"/>
  <c r="AW39" i="16"/>
  <c r="AU38" i="16"/>
  <c r="AV38" i="16"/>
  <c r="AW38" i="16"/>
  <c r="AU36" i="16"/>
  <c r="AV36" i="16"/>
  <c r="AW36" i="16"/>
  <c r="AU32" i="16"/>
  <c r="AV32" i="16"/>
  <c r="AW32" i="16"/>
  <c r="AW45" i="16"/>
  <c r="AU45" i="16"/>
  <c r="AV45" i="16"/>
  <c r="AU34" i="16"/>
  <c r="AV34" i="16"/>
  <c r="AW34" i="16"/>
  <c r="AV37" i="16"/>
  <c r="AW37" i="16"/>
  <c r="AU37" i="16"/>
  <c r="AV31" i="16"/>
  <c r="AW31" i="16"/>
  <c r="AU31" i="16"/>
  <c r="AU42" i="16"/>
  <c r="AV42" i="16"/>
  <c r="AW42" i="16"/>
  <c r="AU41" i="16"/>
  <c r="AV41" i="16"/>
  <c r="AW41" i="16"/>
  <c r="AW35" i="16"/>
  <c r="AU35" i="16"/>
  <c r="AV35" i="16"/>
  <c r="P35" i="4" l="1"/>
  <c r="AH12" i="17" s="1"/>
  <c r="Q35" i="4" l="1"/>
  <c r="AH13" i="17" s="1"/>
  <c r="D333" i="17" s="1"/>
  <c r="R35" i="4"/>
  <c r="AH14" i="17" s="1"/>
  <c r="D365" i="17" s="1"/>
  <c r="D298" i="17"/>
  <c r="D285" i="17"/>
  <c r="D294" i="17"/>
  <c r="D289" i="17"/>
  <c r="D292" i="17"/>
  <c r="D295" i="17"/>
  <c r="D291" i="17"/>
  <c r="D288" i="17"/>
  <c r="D290" i="17"/>
  <c r="D277" i="17"/>
  <c r="D286" i="17"/>
  <c r="D281" i="17"/>
  <c r="D296" i="17"/>
  <c r="D287" i="17"/>
  <c r="D276" i="17"/>
  <c r="D283" i="17"/>
  <c r="D280" i="17"/>
  <c r="D282" i="17"/>
  <c r="D300" i="17"/>
  <c r="D278" i="17"/>
  <c r="D304" i="17"/>
  <c r="D303" i="17"/>
  <c r="D299" i="17"/>
  <c r="D284" i="17"/>
  <c r="D279" i="17"/>
  <c r="D301" i="17"/>
  <c r="D275" i="17"/>
  <c r="D305" i="17"/>
  <c r="D293" i="17"/>
  <c r="D302" i="17"/>
  <c r="D297" i="17"/>
  <c r="D309" i="17" l="1"/>
  <c r="D314" i="17"/>
  <c r="D345" i="17"/>
  <c r="D334" i="17"/>
  <c r="D348" i="17"/>
  <c r="D358" i="17"/>
  <c r="D308" i="17"/>
  <c r="D364" i="17"/>
  <c r="D361" i="17"/>
  <c r="D346" i="17"/>
  <c r="D350" i="17"/>
  <c r="D340" i="17"/>
  <c r="D362" i="17"/>
  <c r="D342" i="17"/>
  <c r="D343" i="17"/>
  <c r="D357" i="17"/>
  <c r="D344" i="17"/>
  <c r="D359" i="17"/>
  <c r="D327" i="17"/>
  <c r="D335" i="17"/>
  <c r="D353" i="17"/>
  <c r="D337" i="17"/>
  <c r="D347" i="17"/>
  <c r="D323" i="17"/>
  <c r="D330" i="17"/>
  <c r="D355" i="17"/>
  <c r="D336" i="17"/>
  <c r="D363" i="17"/>
  <c r="D351" i="17"/>
  <c r="D321" i="17"/>
  <c r="D310" i="17"/>
  <c r="D328" i="17"/>
  <c r="D356" i="17"/>
  <c r="D352" i="17"/>
  <c r="D360" i="17"/>
  <c r="D325" i="17"/>
  <c r="D311" i="17"/>
  <c r="D329" i="17"/>
  <c r="D341" i="17"/>
  <c r="D349" i="17"/>
  <c r="D339" i="17"/>
  <c r="D354" i="17"/>
  <c r="D366" i="17"/>
  <c r="D338" i="17"/>
  <c r="D315" i="17"/>
  <c r="D318" i="17"/>
  <c r="D307" i="17"/>
  <c r="D306" i="17"/>
  <c r="D317" i="17"/>
  <c r="D319" i="17"/>
  <c r="D331" i="17"/>
  <c r="D313" i="17"/>
  <c r="D322" i="17"/>
  <c r="D326" i="17"/>
  <c r="D324" i="17"/>
  <c r="D316" i="17"/>
  <c r="D312" i="17"/>
  <c r="D320" i="17"/>
  <c r="D332" i="17"/>
  <c r="D49" i="6"/>
  <c r="N49" i="6" s="1"/>
  <c r="I35" i="4" l="1"/>
  <c r="E2" i="13" s="1"/>
  <c r="I42" i="4" l="1"/>
  <c r="G2" i="13"/>
  <c r="M2" i="13"/>
  <c r="H2" i="13"/>
  <c r="F2" i="13"/>
  <c r="I2" i="13"/>
  <c r="N2" i="13"/>
  <c r="J2" i="13"/>
  <c r="K2" i="13"/>
  <c r="L2" i="13"/>
  <c r="D82" i="17"/>
  <c r="D83" i="17"/>
  <c r="D71" i="17"/>
  <c r="D89" i="17"/>
  <c r="D65" i="17"/>
  <c r="D69" i="17"/>
  <c r="D88" i="17"/>
  <c r="D80" i="17"/>
  <c r="D62" i="17"/>
  <c r="D66" i="17"/>
  <c r="D79" i="17"/>
  <c r="D63" i="17"/>
  <c r="D74" i="17"/>
  <c r="D73" i="17"/>
  <c r="D90" i="17"/>
  <c r="D77" i="17"/>
  <c r="D84" i="17"/>
  <c r="D78" i="17"/>
  <c r="D67" i="17"/>
  <c r="D91" i="17"/>
  <c r="D64" i="17"/>
  <c r="D70" i="17"/>
  <c r="D76" i="17"/>
  <c r="D85" i="17"/>
  <c r="D87" i="17"/>
  <c r="D75" i="17"/>
  <c r="D68" i="17"/>
  <c r="D86" i="17"/>
  <c r="D81" i="17"/>
  <c r="D61" i="17"/>
  <c r="D72" i="17"/>
  <c r="J52" i="4" l="1"/>
  <c r="J53" i="4" s="1"/>
  <c r="I52" i="4"/>
  <c r="I53" i="4" s="1"/>
  <c r="H52" i="4"/>
  <c r="H53" i="4" s="1"/>
  <c r="F52" i="4"/>
  <c r="F53" i="4" s="1"/>
  <c r="K53" i="4" s="1"/>
  <c r="G52" i="4"/>
  <c r="G53" i="4" s="1"/>
  <c r="R52" i="4"/>
  <c r="R53" i="4" s="1"/>
  <c r="G124" i="17"/>
  <c r="G122" i="17"/>
  <c r="G123" i="17"/>
  <c r="G237" i="17"/>
  <c r="G170" i="17"/>
  <c r="G92" i="17"/>
  <c r="G266" i="17"/>
  <c r="G290" i="17"/>
  <c r="G116" i="17"/>
  <c r="G179" i="17"/>
  <c r="G250" i="17"/>
  <c r="G346" i="17"/>
  <c r="G349" i="17"/>
  <c r="G208" i="17"/>
  <c r="G157" i="17"/>
  <c r="G99" i="17"/>
  <c r="G300" i="17"/>
  <c r="G293" i="17"/>
  <c r="G121" i="17"/>
  <c r="G175" i="17"/>
  <c r="G234" i="17"/>
  <c r="G287" i="17"/>
  <c r="G254" i="17"/>
  <c r="G183" i="17"/>
  <c r="G337" i="17"/>
  <c r="G79" i="17"/>
  <c r="G358" i="17"/>
  <c r="G173" i="17"/>
  <c r="G91" i="17"/>
  <c r="G316" i="17"/>
  <c r="G168" i="17"/>
  <c r="G279" i="17"/>
  <c r="G76" i="17"/>
  <c r="G164" i="17"/>
  <c r="G155" i="17"/>
  <c r="G336" i="17"/>
  <c r="G353" i="17"/>
  <c r="G67" i="17"/>
  <c r="G246" i="17"/>
  <c r="G118" i="17"/>
  <c r="G145" i="17"/>
  <c r="G244" i="17"/>
  <c r="G85" i="17"/>
  <c r="G160" i="17"/>
  <c r="G348" i="17"/>
  <c r="G366" i="17"/>
  <c r="G255" i="17"/>
  <c r="G174" i="17"/>
  <c r="G187" i="17"/>
  <c r="G364" i="17"/>
  <c r="G302" i="17"/>
  <c r="G223" i="17"/>
  <c r="G186" i="17"/>
  <c r="G177" i="17"/>
  <c r="G282" i="17"/>
  <c r="G334" i="17"/>
  <c r="G240" i="17"/>
  <c r="G113" i="17"/>
  <c r="G251" i="17"/>
  <c r="G275" i="17"/>
  <c r="G146" i="17"/>
  <c r="G233" i="17"/>
  <c r="G365" i="17"/>
  <c r="G169" i="17"/>
  <c r="G335" i="17"/>
  <c r="G74" i="17"/>
  <c r="G125" i="17"/>
  <c r="G218" i="17"/>
  <c r="G68" i="17"/>
  <c r="G361" i="17"/>
  <c r="G216" i="17"/>
  <c r="G242" i="17"/>
  <c r="G203" i="17"/>
  <c r="G90" i="17"/>
  <c r="G303" i="17"/>
  <c r="G205" i="17"/>
  <c r="G258" i="17"/>
  <c r="G162" i="17"/>
  <c r="G65" i="17"/>
  <c r="G166" i="17"/>
  <c r="G249" i="17"/>
  <c r="G158" i="17"/>
  <c r="G286" i="17"/>
  <c r="G320" i="17"/>
  <c r="G150" i="17"/>
  <c r="G96" i="17"/>
  <c r="G119" i="17"/>
  <c r="G329" i="17"/>
  <c r="G278" i="17"/>
  <c r="G138" i="17"/>
  <c r="G267" i="17"/>
  <c r="G144" i="17"/>
  <c r="G281" i="17"/>
  <c r="G149" i="17"/>
  <c r="G238" i="17"/>
  <c r="G189" i="17"/>
  <c r="G87" i="17"/>
  <c r="G354" i="17"/>
  <c r="G265" i="17"/>
  <c r="G230" i="17"/>
  <c r="G333" i="17"/>
  <c r="G84" i="17"/>
  <c r="G299" i="17"/>
  <c r="G139" i="17"/>
  <c r="G134" i="17"/>
  <c r="G273" i="17"/>
  <c r="G181" i="17"/>
  <c r="G319" i="17"/>
  <c r="G322" i="17"/>
  <c r="G141" i="17"/>
  <c r="G131" i="17"/>
  <c r="G114" i="17"/>
  <c r="G324" i="17"/>
  <c r="G106" i="17"/>
  <c r="G89" i="17"/>
  <c r="G235" i="17"/>
  <c r="G305" i="17"/>
  <c r="G97" i="17"/>
  <c r="G224" i="17"/>
  <c r="G66" i="17"/>
  <c r="G307" i="17"/>
  <c r="G321" i="17"/>
  <c r="G197" i="17"/>
  <c r="G94" i="17"/>
  <c r="G272" i="17"/>
  <c r="G343" i="17"/>
  <c r="G313" i="17"/>
  <c r="G133" i="17"/>
  <c r="G241" i="17"/>
  <c r="G142" i="17"/>
  <c r="G331" i="17"/>
  <c r="G172" i="17"/>
  <c r="G83" i="17"/>
  <c r="G264" i="17"/>
  <c r="G227" i="17"/>
  <c r="G309" i="17"/>
  <c r="G112" i="17"/>
  <c r="G271" i="17"/>
  <c r="G126" i="17"/>
  <c r="G262" i="17"/>
  <c r="G347" i="17"/>
  <c r="G171" i="17"/>
  <c r="G344" i="17"/>
  <c r="G73" i="17"/>
  <c r="G104" i="17"/>
  <c r="G288" i="17"/>
  <c r="G326" i="17"/>
  <c r="G161" i="17"/>
  <c r="G225" i="17"/>
  <c r="G221" i="17"/>
  <c r="G98" i="17"/>
  <c r="G314" i="17"/>
  <c r="G306" i="17"/>
  <c r="G295" i="17"/>
  <c r="G101" i="17"/>
  <c r="G222" i="17"/>
  <c r="G327" i="17"/>
  <c r="G261" i="17"/>
  <c r="G270" i="17"/>
  <c r="G95" i="17"/>
  <c r="G78" i="17"/>
  <c r="G304" i="17"/>
  <c r="G143" i="17"/>
  <c r="G120" i="17"/>
  <c r="G129" i="17"/>
  <c r="G257" i="17"/>
  <c r="G317" i="17"/>
  <c r="G342" i="17"/>
  <c r="G217" i="17"/>
  <c r="G284" i="17"/>
  <c r="G232" i="17"/>
  <c r="G140" i="17"/>
  <c r="G239" i="17"/>
  <c r="G191" i="17"/>
  <c r="G130" i="17"/>
  <c r="G308" i="17"/>
  <c r="G69" i="17"/>
  <c r="G178" i="17"/>
  <c r="G63" i="17"/>
  <c r="G62" i="17"/>
  <c r="G318" i="17"/>
  <c r="G111" i="17"/>
  <c r="G277" i="17"/>
  <c r="G226" i="17"/>
  <c r="G190" i="17"/>
  <c r="G297" i="17"/>
  <c r="G294" i="17"/>
  <c r="G132" i="17"/>
  <c r="G256" i="17"/>
  <c r="G260" i="17"/>
  <c r="G127" i="17"/>
  <c r="G115" i="17"/>
  <c r="G215" i="17"/>
  <c r="G103" i="17"/>
  <c r="G339" i="17"/>
  <c r="G184" i="17"/>
  <c r="G192" i="17"/>
  <c r="G200" i="17"/>
  <c r="G210" i="17"/>
  <c r="G355" i="17"/>
  <c r="G82" i="17"/>
  <c r="G330" i="17"/>
  <c r="G135" i="17"/>
  <c r="G202" i="17"/>
  <c r="G107" i="17"/>
  <c r="G362" i="17"/>
  <c r="G340" i="17"/>
  <c r="G325" i="17"/>
  <c r="G291" i="17"/>
  <c r="G285" i="17"/>
  <c r="G219" i="17"/>
  <c r="G199" i="17"/>
  <c r="G154" i="17"/>
  <c r="G301" i="17"/>
  <c r="G153" i="17"/>
  <c r="G220" i="17"/>
  <c r="G198" i="17"/>
  <c r="G310" i="17"/>
  <c r="G283" i="17"/>
  <c r="G212" i="17"/>
  <c r="G100" i="17"/>
  <c r="G228" i="17"/>
  <c r="G289" i="17"/>
  <c r="G292" i="17"/>
  <c r="G110" i="17"/>
  <c r="G360" i="17"/>
  <c r="G312" i="17"/>
  <c r="G193" i="17"/>
  <c r="G311" i="17"/>
  <c r="G180" i="17"/>
  <c r="G332" i="17"/>
  <c r="G338" i="17"/>
  <c r="G211" i="17"/>
  <c r="G77" i="17"/>
  <c r="G136" i="17"/>
  <c r="G268" i="17"/>
  <c r="G182" i="17"/>
  <c r="G117" i="17"/>
  <c r="G147" i="17"/>
  <c r="G195" i="17"/>
  <c r="G259" i="17"/>
  <c r="G345" i="17"/>
  <c r="G236" i="17"/>
  <c r="G263" i="17"/>
  <c r="G363" i="17"/>
  <c r="G229" i="17"/>
  <c r="G167" i="17"/>
  <c r="G213" i="17"/>
  <c r="G159" i="17"/>
  <c r="G185" i="17"/>
  <c r="G201" i="17"/>
  <c r="G341" i="17"/>
  <c r="G163" i="17"/>
  <c r="G269" i="17"/>
  <c r="G351" i="17"/>
  <c r="G81" i="17"/>
  <c r="G176" i="17"/>
  <c r="G194" i="17"/>
  <c r="G356" i="17"/>
  <c r="G93" i="17"/>
  <c r="G109" i="17"/>
  <c r="G298" i="17"/>
  <c r="G296" i="17"/>
  <c r="G148" i="17"/>
  <c r="G359" i="17"/>
  <c r="G204" i="17"/>
  <c r="G80" i="17"/>
  <c r="G214" i="17"/>
  <c r="G152" i="17"/>
  <c r="G247" i="17"/>
  <c r="G72" i="17"/>
  <c r="G105" i="17"/>
  <c r="G276" i="17"/>
  <c r="G252" i="17"/>
  <c r="G70" i="17"/>
  <c r="G102" i="17"/>
  <c r="G352" i="17"/>
  <c r="G137" i="17"/>
  <c r="G243" i="17"/>
  <c r="G253" i="17"/>
  <c r="G280" i="17"/>
  <c r="G88" i="17"/>
  <c r="G206" i="17"/>
  <c r="G328" i="17"/>
  <c r="G196" i="17"/>
  <c r="G231" i="17"/>
  <c r="G165" i="17"/>
  <c r="G350" i="17"/>
  <c r="G248" i="17"/>
  <c r="G209" i="17"/>
  <c r="G188" i="17"/>
  <c r="G357" i="17"/>
  <c r="G71" i="17"/>
  <c r="G75" i="17"/>
  <c r="G86" i="17"/>
  <c r="G315" i="17"/>
  <c r="G323" i="17"/>
  <c r="G61" i="17"/>
  <c r="G108" i="17"/>
  <c r="G245" i="17"/>
  <c r="G64" i="17"/>
  <c r="G128" i="17"/>
  <c r="G151" i="17"/>
  <c r="G207" i="17"/>
  <c r="G156" i="17"/>
  <c r="G274" i="17"/>
  <c r="U61" i="17" l="1"/>
  <c r="AC61" i="17"/>
  <c r="V61" i="17"/>
  <c r="Z61" i="17"/>
  <c r="T61" i="17"/>
  <c r="X61" i="17"/>
  <c r="Y61" i="17"/>
  <c r="W61" i="17"/>
  <c r="AA61" i="17"/>
  <c r="AB61" i="17"/>
  <c r="AC62" i="17" l="1"/>
  <c r="AC63" i="17" s="1"/>
  <c r="AC64" i="17" s="1"/>
  <c r="AC65" i="17" s="1"/>
  <c r="AC66" i="17" s="1"/>
  <c r="AC67" i="17" s="1"/>
  <c r="AC68" i="17" s="1"/>
  <c r="AC69" i="17" s="1"/>
  <c r="AC70" i="17" s="1"/>
  <c r="AC71" i="17" s="1"/>
  <c r="AC72" i="17" s="1"/>
  <c r="AC73" i="17" s="1"/>
  <c r="AC74" i="17" s="1"/>
  <c r="AC75" i="17" s="1"/>
  <c r="AC76" i="17" s="1"/>
  <c r="AC77" i="17" s="1"/>
  <c r="AC78" i="17" s="1"/>
  <c r="AC79" i="17" s="1"/>
  <c r="AC80" i="17" s="1"/>
  <c r="AC81" i="17" s="1"/>
  <c r="AC82" i="17" s="1"/>
  <c r="AC83" i="17" s="1"/>
  <c r="AC84" i="17" s="1"/>
  <c r="AC85" i="17" s="1"/>
  <c r="AC86" i="17" s="1"/>
  <c r="AC87" i="17" s="1"/>
  <c r="AC88" i="17" s="1"/>
  <c r="AC89" i="17" s="1"/>
  <c r="AC90" i="17" s="1"/>
  <c r="AC91" i="17" s="1"/>
  <c r="AC92" i="17" s="1"/>
  <c r="AC93" i="17" s="1"/>
  <c r="AC94" i="17" s="1"/>
  <c r="AC95" i="17" s="1"/>
  <c r="AC96" i="17" s="1"/>
  <c r="AC97" i="17" s="1"/>
  <c r="AC98" i="17" s="1"/>
  <c r="AC99" i="17" s="1"/>
  <c r="AC100" i="17" s="1"/>
  <c r="AC101" i="17" s="1"/>
  <c r="AC102" i="17" s="1"/>
  <c r="AC103" i="17" s="1"/>
  <c r="AC104" i="17" s="1"/>
  <c r="AC105" i="17" s="1"/>
  <c r="AC106" i="17" s="1"/>
  <c r="AC107" i="17" s="1"/>
  <c r="AC108" i="17" s="1"/>
  <c r="AC109" i="17" s="1"/>
  <c r="AC110" i="17" s="1"/>
  <c r="AC111" i="17" s="1"/>
  <c r="AC112" i="17" s="1"/>
  <c r="AC113" i="17" s="1"/>
  <c r="AC114" i="17" s="1"/>
  <c r="AC115" i="17" s="1"/>
  <c r="AC116" i="17" s="1"/>
  <c r="AC117" i="17" s="1"/>
  <c r="AC118" i="17" s="1"/>
  <c r="AC119" i="17" s="1"/>
  <c r="AC120" i="17" s="1"/>
  <c r="AC121" i="17" s="1"/>
  <c r="AC122" i="17" s="1"/>
  <c r="AC123" i="17" s="1"/>
  <c r="AC124" i="17" s="1"/>
  <c r="AC125" i="17" s="1"/>
  <c r="AC126" i="17" s="1"/>
  <c r="AC127" i="17" s="1"/>
  <c r="AC128" i="17" s="1"/>
  <c r="AC129" i="17" s="1"/>
  <c r="AC130" i="17" s="1"/>
  <c r="AC131" i="17" s="1"/>
  <c r="AC132" i="17" s="1"/>
  <c r="AC133" i="17" s="1"/>
  <c r="AC134" i="17" s="1"/>
  <c r="AC135" i="17" s="1"/>
  <c r="AC136" i="17" s="1"/>
  <c r="AC137" i="17" s="1"/>
  <c r="AC138" i="17" s="1"/>
  <c r="AC139" i="17" s="1"/>
  <c r="AC140" i="17" s="1"/>
  <c r="AC141" i="17" s="1"/>
  <c r="AC142" i="17" s="1"/>
  <c r="AC143" i="17" s="1"/>
  <c r="AC144" i="17" s="1"/>
  <c r="AC145" i="17" s="1"/>
  <c r="AC146" i="17" s="1"/>
  <c r="AC147" i="17" s="1"/>
  <c r="AC148" i="17" s="1"/>
  <c r="AC149" i="17" s="1"/>
  <c r="AC150" i="17" s="1"/>
  <c r="AC151" i="17" s="1"/>
  <c r="AC152" i="17" s="1"/>
  <c r="AC153" i="17" s="1"/>
  <c r="AC154" i="17" s="1"/>
  <c r="AC155" i="17" s="1"/>
  <c r="AC156" i="17" s="1"/>
  <c r="AC157" i="17" s="1"/>
  <c r="AC158" i="17" s="1"/>
  <c r="AC159" i="17" s="1"/>
  <c r="AC160" i="17" s="1"/>
  <c r="AC161" i="17" s="1"/>
  <c r="AC162" i="17" s="1"/>
  <c r="AC163" i="17" s="1"/>
  <c r="AC164" i="17" s="1"/>
  <c r="AC165" i="17" s="1"/>
  <c r="AC166" i="17" s="1"/>
  <c r="AC167" i="17" s="1"/>
  <c r="AC168" i="17" s="1"/>
  <c r="AC169" i="17" s="1"/>
  <c r="AC170" i="17" s="1"/>
  <c r="AC171" i="17" s="1"/>
  <c r="AC172" i="17" s="1"/>
  <c r="AC173" i="17" s="1"/>
  <c r="AC174" i="17" s="1"/>
  <c r="AC175" i="17" s="1"/>
  <c r="AC176" i="17" s="1"/>
  <c r="AC177" i="17" s="1"/>
  <c r="AC178" i="17" s="1"/>
  <c r="AC179" i="17" s="1"/>
  <c r="AC180" i="17" s="1"/>
  <c r="AC181" i="17" s="1"/>
  <c r="AC182" i="17" s="1"/>
  <c r="AC183" i="17" s="1"/>
  <c r="AC184" i="17" s="1"/>
  <c r="AC185" i="17" s="1"/>
  <c r="AC186" i="17" s="1"/>
  <c r="AC187" i="17" s="1"/>
  <c r="AC188" i="17" s="1"/>
  <c r="AC189" i="17" s="1"/>
  <c r="AC190" i="17" s="1"/>
  <c r="AC191" i="17" s="1"/>
  <c r="AC192" i="17" s="1"/>
  <c r="AC193" i="17" s="1"/>
  <c r="AC194" i="17" s="1"/>
  <c r="AC195" i="17" s="1"/>
  <c r="AC196" i="17" s="1"/>
  <c r="AC197" i="17" s="1"/>
  <c r="AC198" i="17" s="1"/>
  <c r="AC199" i="17" s="1"/>
  <c r="AC200" i="17" s="1"/>
  <c r="AC201" i="17" s="1"/>
  <c r="AC202" i="17" s="1"/>
  <c r="AC203" i="17" s="1"/>
  <c r="AC204" i="17" s="1"/>
  <c r="AC205" i="17" s="1"/>
  <c r="AC206" i="17" s="1"/>
  <c r="AC207" i="17" s="1"/>
  <c r="AC208" i="17" s="1"/>
  <c r="AC209" i="17" s="1"/>
  <c r="AC210" i="17" s="1"/>
  <c r="AC211" i="17" s="1"/>
  <c r="AC212" i="17" s="1"/>
  <c r="AC213" i="17" s="1"/>
  <c r="AC214" i="17" s="1"/>
  <c r="AC215" i="17" s="1"/>
  <c r="AC216" i="17" s="1"/>
  <c r="AC217" i="17" s="1"/>
  <c r="AC218" i="17" s="1"/>
  <c r="AC219" i="17" s="1"/>
  <c r="AC220" i="17" s="1"/>
  <c r="AC221" i="17" s="1"/>
  <c r="AC222" i="17" s="1"/>
  <c r="AC223" i="17" s="1"/>
  <c r="AC224" i="17" s="1"/>
  <c r="AC225" i="17" s="1"/>
  <c r="AC226" i="17" s="1"/>
  <c r="AC227" i="17" s="1"/>
  <c r="AC228" i="17" s="1"/>
  <c r="AC229" i="17" s="1"/>
  <c r="AC230" i="17" s="1"/>
  <c r="AC231" i="17" s="1"/>
  <c r="AC232" i="17" s="1"/>
  <c r="AC233" i="17" s="1"/>
  <c r="AC234" i="17" s="1"/>
  <c r="AC235" i="17" s="1"/>
  <c r="AC236" i="17" s="1"/>
  <c r="AC237" i="17" s="1"/>
  <c r="AC238" i="17" s="1"/>
  <c r="AC239" i="17" s="1"/>
  <c r="AC240" i="17" s="1"/>
  <c r="AC241" i="17" s="1"/>
  <c r="AC242" i="17" s="1"/>
  <c r="AC243" i="17" s="1"/>
  <c r="AC244" i="17" s="1"/>
  <c r="AC245" i="17" s="1"/>
  <c r="AC246" i="17" s="1"/>
  <c r="AC247" i="17" s="1"/>
  <c r="AC248" i="17" s="1"/>
  <c r="AC249" i="17" s="1"/>
  <c r="AC250" i="17" s="1"/>
  <c r="AC251" i="17" s="1"/>
  <c r="AC252" i="17" s="1"/>
  <c r="AC253" i="17" s="1"/>
  <c r="AC254" i="17" s="1"/>
  <c r="AC255" i="17" s="1"/>
  <c r="AC256" i="17" s="1"/>
  <c r="AC257" i="17" s="1"/>
  <c r="AC258" i="17" s="1"/>
  <c r="AC259" i="17" s="1"/>
  <c r="AC260" i="17" s="1"/>
  <c r="AC261" i="17" s="1"/>
  <c r="AC262" i="17" s="1"/>
  <c r="AC263" i="17" s="1"/>
  <c r="AC264" i="17" s="1"/>
  <c r="AC265" i="17" s="1"/>
  <c r="AC266" i="17" s="1"/>
  <c r="AC267" i="17" s="1"/>
  <c r="AC268" i="17" s="1"/>
  <c r="AC269" i="17" s="1"/>
  <c r="AC270" i="17" s="1"/>
  <c r="AC271" i="17" s="1"/>
  <c r="AC272" i="17" s="1"/>
  <c r="AC273" i="17" s="1"/>
  <c r="AC274" i="17" s="1"/>
  <c r="AC275" i="17" s="1"/>
  <c r="AC276" i="17" s="1"/>
  <c r="AC277" i="17" s="1"/>
  <c r="AC278" i="17" s="1"/>
  <c r="AC279" i="17" s="1"/>
  <c r="AC280" i="17" s="1"/>
  <c r="AC281" i="17" s="1"/>
  <c r="AC282" i="17" s="1"/>
  <c r="AC283" i="17" s="1"/>
  <c r="AC284" i="17" s="1"/>
  <c r="AC285" i="17" s="1"/>
  <c r="AC286" i="17" s="1"/>
  <c r="AC287" i="17" s="1"/>
  <c r="AC288" i="17" s="1"/>
  <c r="AC289" i="17" s="1"/>
  <c r="AC290" i="17" s="1"/>
  <c r="AC291" i="17" s="1"/>
  <c r="AC292" i="17" s="1"/>
  <c r="AC293" i="17" s="1"/>
  <c r="AC294" i="17" s="1"/>
  <c r="AC295" i="17" s="1"/>
  <c r="AC296" i="17" s="1"/>
  <c r="AC297" i="17" s="1"/>
  <c r="AC298" i="17" s="1"/>
  <c r="AC299" i="17" s="1"/>
  <c r="AC300" i="17" s="1"/>
  <c r="AC301" i="17" s="1"/>
  <c r="AC302" i="17" s="1"/>
  <c r="AC303" i="17" s="1"/>
  <c r="AC304" i="17" s="1"/>
  <c r="AC305" i="17" s="1"/>
  <c r="AC306" i="17" s="1"/>
  <c r="AC307" i="17" s="1"/>
  <c r="AC308" i="17" s="1"/>
  <c r="AC309" i="17" s="1"/>
  <c r="AC310" i="17" s="1"/>
  <c r="AC311" i="17" s="1"/>
  <c r="AC312" i="17" s="1"/>
  <c r="AC313" i="17" s="1"/>
  <c r="AC314" i="17" s="1"/>
  <c r="AC315" i="17" s="1"/>
  <c r="AC316" i="17" s="1"/>
  <c r="AC317" i="17" s="1"/>
  <c r="AC318" i="17" s="1"/>
  <c r="AC319" i="17" s="1"/>
  <c r="AC320" i="17" s="1"/>
  <c r="AC321" i="17" s="1"/>
  <c r="AC322" i="17" s="1"/>
  <c r="AC323" i="17" s="1"/>
  <c r="AC324" i="17" s="1"/>
  <c r="AC325" i="17" s="1"/>
  <c r="AC326" i="17" s="1"/>
  <c r="AC327" i="17" s="1"/>
  <c r="AC328" i="17" s="1"/>
  <c r="AC329" i="17" s="1"/>
  <c r="AC330" i="17" s="1"/>
  <c r="AC331" i="17" s="1"/>
  <c r="AC332" i="17" s="1"/>
  <c r="AC333" i="17" s="1"/>
  <c r="AC334" i="17" s="1"/>
  <c r="AC335" i="17" s="1"/>
  <c r="AC336" i="17" s="1"/>
  <c r="AC337" i="17" s="1"/>
  <c r="AC338" i="17" s="1"/>
  <c r="AC339" i="17" s="1"/>
  <c r="AC340" i="17" s="1"/>
  <c r="AC341" i="17" s="1"/>
  <c r="AC342" i="17" s="1"/>
  <c r="AC343" i="17" s="1"/>
  <c r="AC344" i="17" s="1"/>
  <c r="AC345" i="17" s="1"/>
  <c r="AC346" i="17" s="1"/>
  <c r="AC347" i="17" s="1"/>
  <c r="AC348" i="17" s="1"/>
  <c r="AC349" i="17" s="1"/>
  <c r="AC350" i="17" s="1"/>
  <c r="AC351" i="17" s="1"/>
  <c r="AC352" i="17" s="1"/>
  <c r="AC353" i="17" s="1"/>
  <c r="AC354" i="17" s="1"/>
  <c r="AC355" i="17" s="1"/>
  <c r="AC356" i="17" s="1"/>
  <c r="AC357" i="17" s="1"/>
  <c r="AC358" i="17" s="1"/>
  <c r="AC359" i="17" s="1"/>
  <c r="AC360" i="17" s="1"/>
  <c r="AC361" i="17" s="1"/>
  <c r="AC362" i="17" s="1"/>
  <c r="AC363" i="17" s="1"/>
  <c r="AC364" i="17" s="1"/>
  <c r="AC365" i="17" s="1"/>
  <c r="AC366" i="17" s="1"/>
  <c r="T77" i="4" s="1"/>
  <c r="V62" i="17"/>
  <c r="V63" i="17" s="1"/>
  <c r="V64" i="17" s="1"/>
  <c r="V65" i="17" s="1"/>
  <c r="V66" i="17" s="1"/>
  <c r="V67" i="17" s="1"/>
  <c r="V68" i="17" s="1"/>
  <c r="V69" i="17" s="1"/>
  <c r="V70" i="17" s="1"/>
  <c r="V71" i="17" s="1"/>
  <c r="V72" i="17" s="1"/>
  <c r="V73" i="17" s="1"/>
  <c r="V74" i="17" s="1"/>
  <c r="V75" i="17" s="1"/>
  <c r="V76" i="17" s="1"/>
  <c r="V77" i="17" s="1"/>
  <c r="V78" i="17" s="1"/>
  <c r="V79" i="17" s="1"/>
  <c r="V80" i="17" s="1"/>
  <c r="V81" i="17" s="1"/>
  <c r="V82" i="17" s="1"/>
  <c r="V83" i="17" s="1"/>
  <c r="V84" i="17" s="1"/>
  <c r="V85" i="17" s="1"/>
  <c r="V86" i="17" s="1"/>
  <c r="V87" i="17" s="1"/>
  <c r="V88" i="17" s="1"/>
  <c r="V89" i="17" s="1"/>
  <c r="V90" i="17" s="1"/>
  <c r="V91" i="17" s="1"/>
  <c r="V92" i="17" s="1"/>
  <c r="V93" i="17" s="1"/>
  <c r="V94" i="17" s="1"/>
  <c r="V95" i="17" s="1"/>
  <c r="V96" i="17" s="1"/>
  <c r="V97" i="17" s="1"/>
  <c r="V98" i="17" s="1"/>
  <c r="V99" i="17" s="1"/>
  <c r="V100" i="17" s="1"/>
  <c r="V101" i="17" s="1"/>
  <c r="V102" i="17" s="1"/>
  <c r="V103" i="17" s="1"/>
  <c r="V104" i="17" s="1"/>
  <c r="V105" i="17" s="1"/>
  <c r="V106" i="17" s="1"/>
  <c r="V107" i="17" s="1"/>
  <c r="V108" i="17" s="1"/>
  <c r="V109" i="17" s="1"/>
  <c r="V110" i="17" s="1"/>
  <c r="V111" i="17" s="1"/>
  <c r="V112" i="17" s="1"/>
  <c r="V113" i="17" s="1"/>
  <c r="V114" i="17" s="1"/>
  <c r="V115" i="17" s="1"/>
  <c r="V116" i="17" s="1"/>
  <c r="V117" i="17" s="1"/>
  <c r="V118" i="17" s="1"/>
  <c r="V119" i="17" s="1"/>
  <c r="V120" i="17" s="1"/>
  <c r="V121" i="17" s="1"/>
  <c r="V122" i="17" s="1"/>
  <c r="V123" i="17" s="1"/>
  <c r="V124" i="17" s="1"/>
  <c r="V125" i="17" s="1"/>
  <c r="V126" i="17" s="1"/>
  <c r="V127" i="17" s="1"/>
  <c r="V128" i="17" s="1"/>
  <c r="V129" i="17" s="1"/>
  <c r="V130" i="17" s="1"/>
  <c r="V131" i="17" s="1"/>
  <c r="V132" i="17" s="1"/>
  <c r="V133" i="17" s="1"/>
  <c r="V134" i="17" s="1"/>
  <c r="V135" i="17" s="1"/>
  <c r="V136" i="17" s="1"/>
  <c r="V137" i="17" s="1"/>
  <c r="V138" i="17" s="1"/>
  <c r="V139" i="17" s="1"/>
  <c r="V140" i="17" s="1"/>
  <c r="V141" i="17" s="1"/>
  <c r="V142" i="17" s="1"/>
  <c r="V143" i="17" s="1"/>
  <c r="V144" i="17" s="1"/>
  <c r="V145" i="17" s="1"/>
  <c r="V146" i="17" s="1"/>
  <c r="V147" i="17" s="1"/>
  <c r="V148" i="17" s="1"/>
  <c r="V149" i="17" s="1"/>
  <c r="V150" i="17" s="1"/>
  <c r="V151" i="17" s="1"/>
  <c r="V152" i="17" s="1"/>
  <c r="V153" i="17" s="1"/>
  <c r="V154" i="17" s="1"/>
  <c r="V155" i="17" s="1"/>
  <c r="V156" i="17" s="1"/>
  <c r="V157" i="17" s="1"/>
  <c r="V158" i="17" s="1"/>
  <c r="V159" i="17" s="1"/>
  <c r="V160" i="17" s="1"/>
  <c r="V161" i="17" s="1"/>
  <c r="V162" i="17" s="1"/>
  <c r="V163" i="17" s="1"/>
  <c r="V164" i="17" s="1"/>
  <c r="V165" i="17" s="1"/>
  <c r="V166" i="17" s="1"/>
  <c r="V167" i="17" s="1"/>
  <c r="V168" i="17" s="1"/>
  <c r="V169" i="17" s="1"/>
  <c r="V170" i="17" s="1"/>
  <c r="V171" i="17" s="1"/>
  <c r="V172" i="17" s="1"/>
  <c r="V173" i="17" s="1"/>
  <c r="V174" i="17" s="1"/>
  <c r="V175" i="17" s="1"/>
  <c r="V176" i="17" s="1"/>
  <c r="V177" i="17" s="1"/>
  <c r="V178" i="17" s="1"/>
  <c r="V179" i="17" s="1"/>
  <c r="V180" i="17" s="1"/>
  <c r="V181" i="17" s="1"/>
  <c r="V182" i="17" s="1"/>
  <c r="V183" i="17" s="1"/>
  <c r="V184" i="17" s="1"/>
  <c r="V185" i="17" s="1"/>
  <c r="V186" i="17" s="1"/>
  <c r="V187" i="17" s="1"/>
  <c r="V188" i="17" s="1"/>
  <c r="V189" i="17" s="1"/>
  <c r="V190" i="17" s="1"/>
  <c r="V191" i="17" s="1"/>
  <c r="V192" i="17" s="1"/>
  <c r="V193" i="17" s="1"/>
  <c r="V194" i="17" s="1"/>
  <c r="V195" i="17" s="1"/>
  <c r="V196" i="17" s="1"/>
  <c r="V197" i="17" s="1"/>
  <c r="V198" i="17" s="1"/>
  <c r="V199" i="17" s="1"/>
  <c r="V200" i="17" s="1"/>
  <c r="V201" i="17" s="1"/>
  <c r="V202" i="17" s="1"/>
  <c r="V203" i="17" s="1"/>
  <c r="V204" i="17" s="1"/>
  <c r="V205" i="17" s="1"/>
  <c r="V206" i="17" s="1"/>
  <c r="V207" i="17" s="1"/>
  <c r="V208" i="17" s="1"/>
  <c r="V209" i="17" s="1"/>
  <c r="V210" i="17" s="1"/>
  <c r="V211" i="17" s="1"/>
  <c r="V212" i="17" s="1"/>
  <c r="V213" i="17" s="1"/>
  <c r="V214" i="17" s="1"/>
  <c r="V215" i="17" s="1"/>
  <c r="V216" i="17" s="1"/>
  <c r="V217" i="17" s="1"/>
  <c r="V218" i="17" s="1"/>
  <c r="V219" i="17" s="1"/>
  <c r="V220" i="17" s="1"/>
  <c r="V221" i="17" s="1"/>
  <c r="V222" i="17" s="1"/>
  <c r="V223" i="17" s="1"/>
  <c r="V224" i="17" s="1"/>
  <c r="V225" i="17" s="1"/>
  <c r="V226" i="17" s="1"/>
  <c r="V227" i="17" s="1"/>
  <c r="V228" i="17" s="1"/>
  <c r="V229" i="17" s="1"/>
  <c r="V230" i="17" s="1"/>
  <c r="V231" i="17" s="1"/>
  <c r="V232" i="17" s="1"/>
  <c r="V233" i="17" s="1"/>
  <c r="V234" i="17" s="1"/>
  <c r="V235" i="17" s="1"/>
  <c r="V236" i="17" s="1"/>
  <c r="V237" i="17" s="1"/>
  <c r="V238" i="17" s="1"/>
  <c r="V239" i="17" s="1"/>
  <c r="V240" i="17" s="1"/>
  <c r="V241" i="17" s="1"/>
  <c r="V242" i="17" s="1"/>
  <c r="V243" i="17" s="1"/>
  <c r="V244" i="17" s="1"/>
  <c r="V245" i="17" s="1"/>
  <c r="V246" i="17" s="1"/>
  <c r="V247" i="17" s="1"/>
  <c r="V248" i="17" s="1"/>
  <c r="V249" i="17" s="1"/>
  <c r="V250" i="17" s="1"/>
  <c r="V251" i="17" s="1"/>
  <c r="V252" i="17" s="1"/>
  <c r="V253" i="17" s="1"/>
  <c r="V254" i="17" s="1"/>
  <c r="V255" i="17" s="1"/>
  <c r="V256" i="17" s="1"/>
  <c r="V257" i="17" s="1"/>
  <c r="V258" i="17" s="1"/>
  <c r="V259" i="17" s="1"/>
  <c r="V260" i="17" s="1"/>
  <c r="V261" i="17" s="1"/>
  <c r="V262" i="17" s="1"/>
  <c r="V263" i="17" s="1"/>
  <c r="V264" i="17" s="1"/>
  <c r="V265" i="17" s="1"/>
  <c r="V266" i="17" s="1"/>
  <c r="V267" i="17" s="1"/>
  <c r="V268" i="17" s="1"/>
  <c r="V269" i="17" s="1"/>
  <c r="V270" i="17" s="1"/>
  <c r="V271" i="17" s="1"/>
  <c r="V272" i="17" s="1"/>
  <c r="V273" i="17" s="1"/>
  <c r="V274" i="17" s="1"/>
  <c r="V275" i="17" s="1"/>
  <c r="V276" i="17" s="1"/>
  <c r="V277" i="17" s="1"/>
  <c r="V278" i="17" s="1"/>
  <c r="V279" i="17" s="1"/>
  <c r="V280" i="17" s="1"/>
  <c r="V281" i="17" s="1"/>
  <c r="V282" i="17" s="1"/>
  <c r="V283" i="17" s="1"/>
  <c r="V284" i="17" s="1"/>
  <c r="V285" i="17" s="1"/>
  <c r="V286" i="17" s="1"/>
  <c r="V287" i="17" s="1"/>
  <c r="V288" i="17" s="1"/>
  <c r="V289" i="17" s="1"/>
  <c r="V290" i="17" s="1"/>
  <c r="V291" i="17" s="1"/>
  <c r="V292" i="17" s="1"/>
  <c r="V293" i="17" s="1"/>
  <c r="V294" i="17" s="1"/>
  <c r="V295" i="17" s="1"/>
  <c r="V296" i="17" s="1"/>
  <c r="V297" i="17" s="1"/>
  <c r="V298" i="17" s="1"/>
  <c r="V299" i="17" s="1"/>
  <c r="V300" i="17" s="1"/>
  <c r="V301" i="17" s="1"/>
  <c r="V302" i="17" s="1"/>
  <c r="V303" i="17" s="1"/>
  <c r="V304" i="17" s="1"/>
  <c r="V305" i="17" s="1"/>
  <c r="V306" i="17" s="1"/>
  <c r="V307" i="17" s="1"/>
  <c r="V308" i="17" s="1"/>
  <c r="V309" i="17" s="1"/>
  <c r="V310" i="17" s="1"/>
  <c r="V311" i="17" s="1"/>
  <c r="V312" i="17" s="1"/>
  <c r="V313" i="17" s="1"/>
  <c r="V314" i="17" s="1"/>
  <c r="V315" i="17" s="1"/>
  <c r="V316" i="17" s="1"/>
  <c r="V317" i="17" s="1"/>
  <c r="V318" i="17" s="1"/>
  <c r="V319" i="17" s="1"/>
  <c r="V320" i="17" s="1"/>
  <c r="V321" i="17" s="1"/>
  <c r="V322" i="17" s="1"/>
  <c r="V323" i="17" s="1"/>
  <c r="V324" i="17" s="1"/>
  <c r="V325" i="17" s="1"/>
  <c r="V326" i="17" s="1"/>
  <c r="V327" i="17" s="1"/>
  <c r="V328" i="17" s="1"/>
  <c r="V329" i="17" s="1"/>
  <c r="V330" i="17" s="1"/>
  <c r="V331" i="17" s="1"/>
  <c r="V332" i="17" s="1"/>
  <c r="V333" i="17" s="1"/>
  <c r="V334" i="17" s="1"/>
  <c r="V335" i="17" s="1"/>
  <c r="V336" i="17" s="1"/>
  <c r="V337" i="17" s="1"/>
  <c r="V338" i="17" s="1"/>
  <c r="V339" i="17" s="1"/>
  <c r="V340" i="17" s="1"/>
  <c r="V341" i="17" s="1"/>
  <c r="V342" i="17" s="1"/>
  <c r="V343" i="17" s="1"/>
  <c r="V344" i="17" s="1"/>
  <c r="V345" i="17" s="1"/>
  <c r="V346" i="17" s="1"/>
  <c r="V347" i="17" s="1"/>
  <c r="V348" i="17" s="1"/>
  <c r="V349" i="17" s="1"/>
  <c r="V350" i="17" s="1"/>
  <c r="V351" i="17" s="1"/>
  <c r="V352" i="17" s="1"/>
  <c r="V353" i="17" s="1"/>
  <c r="V354" i="17" s="1"/>
  <c r="V355" i="17" s="1"/>
  <c r="V356" i="17" s="1"/>
  <c r="V357" i="17" s="1"/>
  <c r="V358" i="17" s="1"/>
  <c r="V359" i="17" s="1"/>
  <c r="V360" i="17" s="1"/>
  <c r="V361" i="17" s="1"/>
  <c r="V362" i="17" s="1"/>
  <c r="V363" i="17" s="1"/>
  <c r="V364" i="17" s="1"/>
  <c r="V365" i="17" s="1"/>
  <c r="V366" i="17" s="1"/>
  <c r="U62" i="17"/>
  <c r="U63" i="17" s="1"/>
  <c r="U64" i="17" s="1"/>
  <c r="U65" i="17" s="1"/>
  <c r="U66" i="17" s="1"/>
  <c r="U67" i="17" s="1"/>
  <c r="U68" i="17" s="1"/>
  <c r="U69" i="17" s="1"/>
  <c r="U70" i="17" s="1"/>
  <c r="U71" i="17" s="1"/>
  <c r="U72" i="17" s="1"/>
  <c r="U73" i="17" s="1"/>
  <c r="U74" i="17" s="1"/>
  <c r="U75" i="17" s="1"/>
  <c r="U76" i="17" s="1"/>
  <c r="U77" i="17" s="1"/>
  <c r="U78" i="17" s="1"/>
  <c r="U79" i="17" s="1"/>
  <c r="U80" i="17" s="1"/>
  <c r="U81" i="17" s="1"/>
  <c r="U82" i="17" s="1"/>
  <c r="U83" i="17" s="1"/>
  <c r="U84" i="17" s="1"/>
  <c r="U85" i="17" s="1"/>
  <c r="U86" i="17" s="1"/>
  <c r="U87" i="17" s="1"/>
  <c r="U88" i="17" s="1"/>
  <c r="U89" i="17" s="1"/>
  <c r="U90" i="17" s="1"/>
  <c r="U91" i="17" s="1"/>
  <c r="U92" i="17" s="1"/>
  <c r="U93" i="17" s="1"/>
  <c r="U94" i="17" s="1"/>
  <c r="U95" i="17" s="1"/>
  <c r="U96" i="17" s="1"/>
  <c r="U97" i="17" s="1"/>
  <c r="U98" i="17" s="1"/>
  <c r="U99" i="17" s="1"/>
  <c r="U100" i="17" s="1"/>
  <c r="U101" i="17" s="1"/>
  <c r="U102" i="17" s="1"/>
  <c r="U103" i="17" s="1"/>
  <c r="U104" i="17" s="1"/>
  <c r="U105" i="17" s="1"/>
  <c r="U106" i="17" s="1"/>
  <c r="U107" i="17" s="1"/>
  <c r="U108" i="17" s="1"/>
  <c r="U109" i="17" s="1"/>
  <c r="U110" i="17" s="1"/>
  <c r="U111" i="17" s="1"/>
  <c r="U112" i="17" s="1"/>
  <c r="U113" i="17" s="1"/>
  <c r="U114" i="17" s="1"/>
  <c r="U115" i="17" s="1"/>
  <c r="U116" i="17" s="1"/>
  <c r="U117" i="17" s="1"/>
  <c r="U118" i="17" s="1"/>
  <c r="U119" i="17" s="1"/>
  <c r="U120" i="17" s="1"/>
  <c r="U121" i="17" s="1"/>
  <c r="U122" i="17" s="1"/>
  <c r="U123" i="17" s="1"/>
  <c r="U124" i="17" s="1"/>
  <c r="U125" i="17" s="1"/>
  <c r="U126" i="17" s="1"/>
  <c r="U127" i="17" s="1"/>
  <c r="U128" i="17" s="1"/>
  <c r="U129" i="17" s="1"/>
  <c r="U130" i="17" s="1"/>
  <c r="U131" i="17" s="1"/>
  <c r="U132" i="17" s="1"/>
  <c r="U133" i="17" s="1"/>
  <c r="U134" i="17" s="1"/>
  <c r="U135" i="17" s="1"/>
  <c r="U136" i="17" s="1"/>
  <c r="U137" i="17" s="1"/>
  <c r="U138" i="17" s="1"/>
  <c r="U139" i="17" s="1"/>
  <c r="U140" i="17" s="1"/>
  <c r="U141" i="17" s="1"/>
  <c r="U142" i="17" s="1"/>
  <c r="U143" i="17" s="1"/>
  <c r="U144" i="17" s="1"/>
  <c r="U145" i="17" s="1"/>
  <c r="U146" i="17" s="1"/>
  <c r="U147" i="17" s="1"/>
  <c r="U148" i="17" s="1"/>
  <c r="U149" i="17" s="1"/>
  <c r="U150" i="17" s="1"/>
  <c r="U151" i="17" s="1"/>
  <c r="U152" i="17" s="1"/>
  <c r="U153" i="17" s="1"/>
  <c r="U154" i="17" s="1"/>
  <c r="U155" i="17" s="1"/>
  <c r="U156" i="17" s="1"/>
  <c r="U157" i="17" s="1"/>
  <c r="U158" i="17" s="1"/>
  <c r="U159" i="17" s="1"/>
  <c r="U160" i="17" s="1"/>
  <c r="U161" i="17" s="1"/>
  <c r="U162" i="17" s="1"/>
  <c r="U163" i="17" s="1"/>
  <c r="U164" i="17" s="1"/>
  <c r="U165" i="17" s="1"/>
  <c r="U166" i="17" s="1"/>
  <c r="U167" i="17" s="1"/>
  <c r="U168" i="17" s="1"/>
  <c r="U169" i="17" s="1"/>
  <c r="U170" i="17" s="1"/>
  <c r="U171" i="17" s="1"/>
  <c r="U172" i="17" s="1"/>
  <c r="U173" i="17" s="1"/>
  <c r="U174" i="17" s="1"/>
  <c r="U175" i="17" s="1"/>
  <c r="U176" i="17" s="1"/>
  <c r="U177" i="17" s="1"/>
  <c r="U178" i="17" s="1"/>
  <c r="U179" i="17" s="1"/>
  <c r="U180" i="17" s="1"/>
  <c r="U181" i="17" s="1"/>
  <c r="U182" i="17" s="1"/>
  <c r="U183" i="17" s="1"/>
  <c r="U184" i="17" s="1"/>
  <c r="U185" i="17" s="1"/>
  <c r="U186" i="17" s="1"/>
  <c r="U187" i="17" s="1"/>
  <c r="U188" i="17" s="1"/>
  <c r="U189" i="17" s="1"/>
  <c r="U190" i="17" s="1"/>
  <c r="U191" i="17" s="1"/>
  <c r="U192" i="17" s="1"/>
  <c r="U193" i="17" s="1"/>
  <c r="U194" i="17" s="1"/>
  <c r="U195" i="17" s="1"/>
  <c r="U196" i="17" s="1"/>
  <c r="U197" i="17" s="1"/>
  <c r="U198" i="17" s="1"/>
  <c r="U199" i="17" s="1"/>
  <c r="U200" i="17" s="1"/>
  <c r="U201" i="17" s="1"/>
  <c r="U202" i="17" s="1"/>
  <c r="U203" i="17" s="1"/>
  <c r="U204" i="17" s="1"/>
  <c r="U205" i="17" s="1"/>
  <c r="U206" i="17" s="1"/>
  <c r="U207" i="17" s="1"/>
  <c r="U208" i="17" s="1"/>
  <c r="U209" i="17" s="1"/>
  <c r="U210" i="17" s="1"/>
  <c r="U211" i="17" s="1"/>
  <c r="U212" i="17" s="1"/>
  <c r="U213" i="17" s="1"/>
  <c r="U214" i="17" s="1"/>
  <c r="U215" i="17" s="1"/>
  <c r="U216" i="17" s="1"/>
  <c r="U217" i="17" s="1"/>
  <c r="U218" i="17" s="1"/>
  <c r="U219" i="17" s="1"/>
  <c r="U220" i="17" s="1"/>
  <c r="U221" i="17" s="1"/>
  <c r="U222" i="17" s="1"/>
  <c r="U223" i="17" s="1"/>
  <c r="U224" i="17" s="1"/>
  <c r="U225" i="17" s="1"/>
  <c r="U226" i="17" s="1"/>
  <c r="U227" i="17" s="1"/>
  <c r="U228" i="17" s="1"/>
  <c r="U229" i="17" s="1"/>
  <c r="U230" i="17" s="1"/>
  <c r="U231" i="17" s="1"/>
  <c r="U232" i="17" s="1"/>
  <c r="U233" i="17" s="1"/>
  <c r="U234" i="17" s="1"/>
  <c r="U235" i="17" s="1"/>
  <c r="U236" i="17" s="1"/>
  <c r="U237" i="17" s="1"/>
  <c r="U238" i="17" s="1"/>
  <c r="U239" i="17" s="1"/>
  <c r="U240" i="17" s="1"/>
  <c r="U241" i="17" s="1"/>
  <c r="U242" i="17" s="1"/>
  <c r="U243" i="17" s="1"/>
  <c r="U244" i="17" s="1"/>
  <c r="U245" i="17" s="1"/>
  <c r="U246" i="17" s="1"/>
  <c r="U247" i="17" s="1"/>
  <c r="U248" i="17" s="1"/>
  <c r="U249" i="17" s="1"/>
  <c r="U250" i="17" s="1"/>
  <c r="U251" i="17" s="1"/>
  <c r="U252" i="17" s="1"/>
  <c r="U253" i="17" s="1"/>
  <c r="U254" i="17" s="1"/>
  <c r="U255" i="17" s="1"/>
  <c r="U256" i="17" s="1"/>
  <c r="U257" i="17" s="1"/>
  <c r="U258" i="17" s="1"/>
  <c r="U259" i="17" s="1"/>
  <c r="U260" i="17" s="1"/>
  <c r="U261" i="17" s="1"/>
  <c r="U262" i="17" s="1"/>
  <c r="U263" i="17" s="1"/>
  <c r="U264" i="17" s="1"/>
  <c r="U265" i="17" s="1"/>
  <c r="U266" i="17" s="1"/>
  <c r="U267" i="17" s="1"/>
  <c r="U268" i="17" s="1"/>
  <c r="U269" i="17" s="1"/>
  <c r="U270" i="17" s="1"/>
  <c r="U271" i="17" s="1"/>
  <c r="U272" i="17" s="1"/>
  <c r="U273" i="17" s="1"/>
  <c r="U274" i="17" s="1"/>
  <c r="U275" i="17" s="1"/>
  <c r="U276" i="17" s="1"/>
  <c r="U277" i="17" s="1"/>
  <c r="U278" i="17" s="1"/>
  <c r="U279" i="17" s="1"/>
  <c r="U280" i="17" s="1"/>
  <c r="U281" i="17" s="1"/>
  <c r="U282" i="17" s="1"/>
  <c r="U283" i="17" s="1"/>
  <c r="U284" i="17" s="1"/>
  <c r="U285" i="17" s="1"/>
  <c r="U286" i="17" s="1"/>
  <c r="U287" i="17" s="1"/>
  <c r="U288" i="17" s="1"/>
  <c r="U289" i="17" s="1"/>
  <c r="U290" i="17" s="1"/>
  <c r="U291" i="17" s="1"/>
  <c r="U292" i="17" s="1"/>
  <c r="U293" i="17" s="1"/>
  <c r="U294" i="17" s="1"/>
  <c r="U295" i="17" s="1"/>
  <c r="U296" i="17" s="1"/>
  <c r="U297" i="17" s="1"/>
  <c r="U298" i="17" s="1"/>
  <c r="U299" i="17" s="1"/>
  <c r="U300" i="17" s="1"/>
  <c r="U301" i="17" s="1"/>
  <c r="U302" i="17" s="1"/>
  <c r="U303" i="17" s="1"/>
  <c r="U304" i="17" s="1"/>
  <c r="U305" i="17" s="1"/>
  <c r="U306" i="17" s="1"/>
  <c r="U307" i="17" s="1"/>
  <c r="U308" i="17" s="1"/>
  <c r="U309" i="17" s="1"/>
  <c r="U310" i="17" s="1"/>
  <c r="U311" i="17" s="1"/>
  <c r="U312" i="17" s="1"/>
  <c r="U313" i="17" s="1"/>
  <c r="U314" i="17" s="1"/>
  <c r="U315" i="17" s="1"/>
  <c r="U316" i="17" s="1"/>
  <c r="U317" i="17" s="1"/>
  <c r="U318" i="17" s="1"/>
  <c r="U319" i="17" s="1"/>
  <c r="U320" i="17" s="1"/>
  <c r="U321" i="17" s="1"/>
  <c r="U322" i="17" s="1"/>
  <c r="U323" i="17" s="1"/>
  <c r="U324" i="17" s="1"/>
  <c r="U325" i="17" s="1"/>
  <c r="U326" i="17" s="1"/>
  <c r="U327" i="17" s="1"/>
  <c r="U328" i="17" s="1"/>
  <c r="U329" i="17" s="1"/>
  <c r="U330" i="17" s="1"/>
  <c r="U331" i="17" s="1"/>
  <c r="U332" i="17" s="1"/>
  <c r="U333" i="17" s="1"/>
  <c r="U334" i="17" s="1"/>
  <c r="U335" i="17" s="1"/>
  <c r="U336" i="17" s="1"/>
  <c r="U337" i="17" s="1"/>
  <c r="U338" i="17" s="1"/>
  <c r="U339" i="17" s="1"/>
  <c r="U340" i="17" s="1"/>
  <c r="U341" i="17" s="1"/>
  <c r="U342" i="17" s="1"/>
  <c r="U343" i="17" s="1"/>
  <c r="U344" i="17" s="1"/>
  <c r="U345" i="17" s="1"/>
  <c r="U346" i="17" s="1"/>
  <c r="U347" i="17" s="1"/>
  <c r="U348" i="17" s="1"/>
  <c r="U349" i="17" s="1"/>
  <c r="U350" i="17" s="1"/>
  <c r="U351" i="17" s="1"/>
  <c r="U352" i="17" s="1"/>
  <c r="U353" i="17" s="1"/>
  <c r="U354" i="17" s="1"/>
  <c r="U355" i="17" s="1"/>
  <c r="U356" i="17" s="1"/>
  <c r="U357" i="17" s="1"/>
  <c r="U358" i="17" s="1"/>
  <c r="U359" i="17" s="1"/>
  <c r="U360" i="17" s="1"/>
  <c r="U361" i="17" s="1"/>
  <c r="U362" i="17" s="1"/>
  <c r="U363" i="17" s="1"/>
  <c r="U364" i="17" s="1"/>
  <c r="U365" i="17" s="1"/>
  <c r="U366" i="17" s="1"/>
  <c r="Y62" i="17"/>
  <c r="Y63" i="17" s="1"/>
  <c r="Y64" i="17" s="1"/>
  <c r="Y65" i="17" s="1"/>
  <c r="Y66" i="17" s="1"/>
  <c r="Y67" i="17" s="1"/>
  <c r="Y68" i="17" s="1"/>
  <c r="Y69" i="17" s="1"/>
  <c r="Y70" i="17" s="1"/>
  <c r="Y71" i="17" s="1"/>
  <c r="Y72" i="17" s="1"/>
  <c r="Y73" i="17" s="1"/>
  <c r="Y74" i="17" s="1"/>
  <c r="Y75" i="17" s="1"/>
  <c r="Y76" i="17" s="1"/>
  <c r="Y77" i="17" s="1"/>
  <c r="Y78" i="17" s="1"/>
  <c r="Y79" i="17" s="1"/>
  <c r="Y80" i="17" s="1"/>
  <c r="Y81" i="17" s="1"/>
  <c r="Y82" i="17" s="1"/>
  <c r="Y83" i="17" s="1"/>
  <c r="Y84" i="17" s="1"/>
  <c r="Y85" i="17" s="1"/>
  <c r="Y86" i="17" s="1"/>
  <c r="Y87" i="17" s="1"/>
  <c r="Y88" i="17" s="1"/>
  <c r="Y89" i="17" s="1"/>
  <c r="Y90" i="17" s="1"/>
  <c r="Y91" i="17" s="1"/>
  <c r="Y92" i="17" s="1"/>
  <c r="Y93" i="17" s="1"/>
  <c r="Y94" i="17" s="1"/>
  <c r="Y95" i="17" s="1"/>
  <c r="Y96" i="17" s="1"/>
  <c r="Y97" i="17" s="1"/>
  <c r="Y98" i="17" s="1"/>
  <c r="Y99" i="17" s="1"/>
  <c r="Y100" i="17" s="1"/>
  <c r="Y101" i="17" s="1"/>
  <c r="Y102" i="17" s="1"/>
  <c r="Y103" i="17" s="1"/>
  <c r="Y104" i="17" s="1"/>
  <c r="Y105" i="17" s="1"/>
  <c r="Y106" i="17" s="1"/>
  <c r="Y107" i="17" s="1"/>
  <c r="Y108" i="17" s="1"/>
  <c r="Y109" i="17" s="1"/>
  <c r="Y110" i="17" s="1"/>
  <c r="Y111" i="17" s="1"/>
  <c r="Y112" i="17" s="1"/>
  <c r="Y113" i="17" s="1"/>
  <c r="Y114" i="17" s="1"/>
  <c r="Y115" i="17" s="1"/>
  <c r="Y116" i="17" s="1"/>
  <c r="Y117" i="17" s="1"/>
  <c r="Y118" i="17" s="1"/>
  <c r="Y119" i="17" s="1"/>
  <c r="Y120" i="17" s="1"/>
  <c r="Y121" i="17" s="1"/>
  <c r="Y122" i="17" s="1"/>
  <c r="Y123" i="17" s="1"/>
  <c r="Y124" i="17" s="1"/>
  <c r="Y125" i="17" s="1"/>
  <c r="Y126" i="17" s="1"/>
  <c r="Y127" i="17" s="1"/>
  <c r="Y128" i="17" s="1"/>
  <c r="Y129" i="17" s="1"/>
  <c r="Y130" i="17" s="1"/>
  <c r="Y131" i="17" s="1"/>
  <c r="Y132" i="17" s="1"/>
  <c r="Y133" i="17" s="1"/>
  <c r="Y134" i="17" s="1"/>
  <c r="Y135" i="17" s="1"/>
  <c r="Y136" i="17" s="1"/>
  <c r="Y137" i="17" s="1"/>
  <c r="Y138" i="17" s="1"/>
  <c r="Y139" i="17" s="1"/>
  <c r="Y140" i="17" s="1"/>
  <c r="Y141" i="17" s="1"/>
  <c r="Y142" i="17" s="1"/>
  <c r="Y143" i="17" s="1"/>
  <c r="Y144" i="17" s="1"/>
  <c r="Y145" i="17" s="1"/>
  <c r="Y146" i="17" s="1"/>
  <c r="Y147" i="17" s="1"/>
  <c r="Y148" i="17" s="1"/>
  <c r="Y149" i="17" s="1"/>
  <c r="Y150" i="17" s="1"/>
  <c r="Y151" i="17" s="1"/>
  <c r="Y152" i="17" s="1"/>
  <c r="Y153" i="17" s="1"/>
  <c r="Y154" i="17" s="1"/>
  <c r="Y155" i="17" s="1"/>
  <c r="Y156" i="17" s="1"/>
  <c r="Y157" i="17" s="1"/>
  <c r="Y158" i="17" s="1"/>
  <c r="Y159" i="17" s="1"/>
  <c r="Y160" i="17" s="1"/>
  <c r="Y161" i="17" s="1"/>
  <c r="Y162" i="17" s="1"/>
  <c r="Y163" i="17" s="1"/>
  <c r="Y164" i="17" s="1"/>
  <c r="Y165" i="17" s="1"/>
  <c r="Y166" i="17" s="1"/>
  <c r="Y167" i="17" s="1"/>
  <c r="Y168" i="17" s="1"/>
  <c r="Y169" i="17" s="1"/>
  <c r="Y170" i="17" s="1"/>
  <c r="Y171" i="17" s="1"/>
  <c r="Y172" i="17" s="1"/>
  <c r="Y173" i="17" s="1"/>
  <c r="Y174" i="17" s="1"/>
  <c r="Y175" i="17" s="1"/>
  <c r="Y176" i="17" s="1"/>
  <c r="Y177" i="17" s="1"/>
  <c r="Y178" i="17" s="1"/>
  <c r="Y179" i="17" s="1"/>
  <c r="Y180" i="17" s="1"/>
  <c r="Y181" i="17" s="1"/>
  <c r="Y182" i="17" s="1"/>
  <c r="Y183" i="17" s="1"/>
  <c r="Y184" i="17" s="1"/>
  <c r="Y185" i="17" s="1"/>
  <c r="Y186" i="17" s="1"/>
  <c r="Y187" i="17" s="1"/>
  <c r="Y188" i="17" s="1"/>
  <c r="Y189" i="17" s="1"/>
  <c r="Y190" i="17" s="1"/>
  <c r="Y191" i="17" s="1"/>
  <c r="Y192" i="17" s="1"/>
  <c r="Y193" i="17" s="1"/>
  <c r="Y194" i="17" s="1"/>
  <c r="Y195" i="17" s="1"/>
  <c r="Y196" i="17" s="1"/>
  <c r="Y197" i="17" s="1"/>
  <c r="Y198" i="17" s="1"/>
  <c r="Y199" i="17" s="1"/>
  <c r="Y200" i="17" s="1"/>
  <c r="Y201" i="17" s="1"/>
  <c r="Y202" i="17" s="1"/>
  <c r="Y203" i="17" s="1"/>
  <c r="Y204" i="17" s="1"/>
  <c r="Y205" i="17" s="1"/>
  <c r="Y206" i="17" s="1"/>
  <c r="Y207" i="17" s="1"/>
  <c r="Y208" i="17" s="1"/>
  <c r="Y209" i="17" s="1"/>
  <c r="Y210" i="17" s="1"/>
  <c r="Y211" i="17" s="1"/>
  <c r="Y212" i="17" s="1"/>
  <c r="Y213" i="17" s="1"/>
  <c r="Y214" i="17" s="1"/>
  <c r="Y215" i="17" s="1"/>
  <c r="Y216" i="17" s="1"/>
  <c r="Y217" i="17" s="1"/>
  <c r="Y218" i="17" s="1"/>
  <c r="Y219" i="17" s="1"/>
  <c r="Y220" i="17" s="1"/>
  <c r="Y221" i="17" s="1"/>
  <c r="Y222" i="17" s="1"/>
  <c r="Y223" i="17" s="1"/>
  <c r="Y224" i="17" s="1"/>
  <c r="Y225" i="17" s="1"/>
  <c r="Y226" i="17" s="1"/>
  <c r="Y227" i="17" s="1"/>
  <c r="Y228" i="17" s="1"/>
  <c r="Y229" i="17" s="1"/>
  <c r="Y230" i="17" s="1"/>
  <c r="Y231" i="17" s="1"/>
  <c r="Y232" i="17" s="1"/>
  <c r="Y233" i="17" s="1"/>
  <c r="Y234" i="17" s="1"/>
  <c r="Y235" i="17" s="1"/>
  <c r="Y236" i="17" s="1"/>
  <c r="Y237" i="17" s="1"/>
  <c r="Y238" i="17" s="1"/>
  <c r="Y239" i="17" s="1"/>
  <c r="Y240" i="17" s="1"/>
  <c r="Y241" i="17" s="1"/>
  <c r="Y242" i="17" s="1"/>
  <c r="Y243" i="17" s="1"/>
  <c r="Y244" i="17" s="1"/>
  <c r="Y245" i="17" s="1"/>
  <c r="Y246" i="17" s="1"/>
  <c r="Y247" i="17" s="1"/>
  <c r="Y248" i="17" s="1"/>
  <c r="Y249" i="17" s="1"/>
  <c r="Y250" i="17" s="1"/>
  <c r="Y251" i="17" s="1"/>
  <c r="Y252" i="17" s="1"/>
  <c r="Y253" i="17" s="1"/>
  <c r="Y254" i="17" s="1"/>
  <c r="Y255" i="17" s="1"/>
  <c r="Y256" i="17" s="1"/>
  <c r="Y257" i="17" s="1"/>
  <c r="Y258" i="17" s="1"/>
  <c r="Y259" i="17" s="1"/>
  <c r="Y260" i="17" s="1"/>
  <c r="Y261" i="17" s="1"/>
  <c r="Y262" i="17" s="1"/>
  <c r="Y263" i="17" s="1"/>
  <c r="Y264" i="17" s="1"/>
  <c r="Y265" i="17" s="1"/>
  <c r="Y266" i="17" s="1"/>
  <c r="Y267" i="17" s="1"/>
  <c r="Y268" i="17" s="1"/>
  <c r="Y269" i="17" s="1"/>
  <c r="Y270" i="17" s="1"/>
  <c r="Y271" i="17" s="1"/>
  <c r="Y272" i="17" s="1"/>
  <c r="Y273" i="17" s="1"/>
  <c r="Y274" i="17" s="1"/>
  <c r="Y275" i="17" s="1"/>
  <c r="Y276" i="17" s="1"/>
  <c r="Y277" i="17" s="1"/>
  <c r="Y278" i="17" s="1"/>
  <c r="Y279" i="17" s="1"/>
  <c r="Y280" i="17" s="1"/>
  <c r="Y281" i="17" s="1"/>
  <c r="Y282" i="17" s="1"/>
  <c r="Y283" i="17" s="1"/>
  <c r="Y284" i="17" s="1"/>
  <c r="Y285" i="17" s="1"/>
  <c r="Y286" i="17" s="1"/>
  <c r="Y287" i="17" s="1"/>
  <c r="Y288" i="17" s="1"/>
  <c r="Y289" i="17" s="1"/>
  <c r="Y290" i="17" s="1"/>
  <c r="Y291" i="17" s="1"/>
  <c r="Y292" i="17" s="1"/>
  <c r="Y293" i="17" s="1"/>
  <c r="Y294" i="17" s="1"/>
  <c r="Y295" i="17" s="1"/>
  <c r="Y296" i="17" s="1"/>
  <c r="Y297" i="17" s="1"/>
  <c r="Y298" i="17" s="1"/>
  <c r="Y299" i="17" s="1"/>
  <c r="Y300" i="17" s="1"/>
  <c r="Y301" i="17" s="1"/>
  <c r="Y302" i="17" s="1"/>
  <c r="Y303" i="17" s="1"/>
  <c r="Y304" i="17" s="1"/>
  <c r="Y305" i="17" s="1"/>
  <c r="Y306" i="17" s="1"/>
  <c r="Y307" i="17" s="1"/>
  <c r="Y308" i="17" s="1"/>
  <c r="Y309" i="17" s="1"/>
  <c r="Y310" i="17" s="1"/>
  <c r="Y311" i="17" s="1"/>
  <c r="Y312" i="17" s="1"/>
  <c r="Y313" i="17" s="1"/>
  <c r="Y314" i="17" s="1"/>
  <c r="Y315" i="17" s="1"/>
  <c r="Y316" i="17" s="1"/>
  <c r="Y317" i="17" s="1"/>
  <c r="Y318" i="17" s="1"/>
  <c r="Y319" i="17" s="1"/>
  <c r="Y320" i="17" s="1"/>
  <c r="Y321" i="17" s="1"/>
  <c r="Y322" i="17" s="1"/>
  <c r="Y323" i="17" s="1"/>
  <c r="Y324" i="17" s="1"/>
  <c r="Y325" i="17" s="1"/>
  <c r="Y326" i="17" s="1"/>
  <c r="Y327" i="17" s="1"/>
  <c r="Y328" i="17" s="1"/>
  <c r="Y329" i="17" s="1"/>
  <c r="Y330" i="17" s="1"/>
  <c r="Y331" i="17" s="1"/>
  <c r="Y332" i="17" s="1"/>
  <c r="Y333" i="17" s="1"/>
  <c r="Y334" i="17" s="1"/>
  <c r="Y335" i="17" s="1"/>
  <c r="Y336" i="17" s="1"/>
  <c r="Y337" i="17" s="1"/>
  <c r="Y338" i="17" s="1"/>
  <c r="Y339" i="17" s="1"/>
  <c r="Y340" i="17" s="1"/>
  <c r="Y341" i="17" s="1"/>
  <c r="Y342" i="17" s="1"/>
  <c r="Y343" i="17" s="1"/>
  <c r="Y344" i="17" s="1"/>
  <c r="Y345" i="17" s="1"/>
  <c r="Y346" i="17" s="1"/>
  <c r="Y347" i="17" s="1"/>
  <c r="Y348" i="17" s="1"/>
  <c r="Y349" i="17" s="1"/>
  <c r="Y350" i="17" s="1"/>
  <c r="Y351" i="17" s="1"/>
  <c r="Y352" i="17" s="1"/>
  <c r="Y353" i="17" s="1"/>
  <c r="Y354" i="17" s="1"/>
  <c r="Y355" i="17" s="1"/>
  <c r="Y356" i="17" s="1"/>
  <c r="Y357" i="17" s="1"/>
  <c r="Y358" i="17" s="1"/>
  <c r="Y359" i="17" s="1"/>
  <c r="Y360" i="17" s="1"/>
  <c r="Y361" i="17" s="1"/>
  <c r="Y362" i="17" s="1"/>
  <c r="Y363" i="17" s="1"/>
  <c r="Y364" i="17" s="1"/>
  <c r="Y365" i="17" s="1"/>
  <c r="Y366" i="17" s="1"/>
  <c r="Y367" i="17" s="1"/>
  <c r="Y369" i="17" s="1"/>
  <c r="X62" i="17"/>
  <c r="X63" i="17" s="1"/>
  <c r="X64" i="17" s="1"/>
  <c r="X65" i="17" s="1"/>
  <c r="X66" i="17" s="1"/>
  <c r="X67" i="17" s="1"/>
  <c r="X68" i="17" s="1"/>
  <c r="X69" i="17" s="1"/>
  <c r="X70" i="17" s="1"/>
  <c r="X71" i="17" s="1"/>
  <c r="X72" i="17" s="1"/>
  <c r="X73" i="17" s="1"/>
  <c r="X74" i="17" s="1"/>
  <c r="X75" i="17" s="1"/>
  <c r="X76" i="17" s="1"/>
  <c r="X77" i="17" s="1"/>
  <c r="X78" i="17" s="1"/>
  <c r="X79" i="17" s="1"/>
  <c r="X80" i="17" s="1"/>
  <c r="X81" i="17" s="1"/>
  <c r="X82" i="17" s="1"/>
  <c r="X83" i="17" s="1"/>
  <c r="X84" i="17" s="1"/>
  <c r="X85" i="17" s="1"/>
  <c r="X86" i="17" s="1"/>
  <c r="X87" i="17" s="1"/>
  <c r="X88" i="17" s="1"/>
  <c r="X89" i="17" s="1"/>
  <c r="X90" i="17" s="1"/>
  <c r="X91" i="17" s="1"/>
  <c r="X92" i="17" s="1"/>
  <c r="X93" i="17" s="1"/>
  <c r="X94" i="17" s="1"/>
  <c r="X95" i="17" s="1"/>
  <c r="X96" i="17" s="1"/>
  <c r="X97" i="17" s="1"/>
  <c r="X98" i="17" s="1"/>
  <c r="X99" i="17" s="1"/>
  <c r="X100" i="17" s="1"/>
  <c r="X101" i="17" s="1"/>
  <c r="X102" i="17" s="1"/>
  <c r="X103" i="17" s="1"/>
  <c r="X104" i="17" s="1"/>
  <c r="X105" i="17" s="1"/>
  <c r="X106" i="17" s="1"/>
  <c r="X107" i="17" s="1"/>
  <c r="X108" i="17" s="1"/>
  <c r="X109" i="17" s="1"/>
  <c r="X110" i="17" s="1"/>
  <c r="X111" i="17" s="1"/>
  <c r="X112" i="17" s="1"/>
  <c r="X113" i="17" s="1"/>
  <c r="X114" i="17" s="1"/>
  <c r="X115" i="17" s="1"/>
  <c r="X116" i="17" s="1"/>
  <c r="X117" i="17" s="1"/>
  <c r="X118" i="17" s="1"/>
  <c r="X119" i="17" s="1"/>
  <c r="X120" i="17" s="1"/>
  <c r="X121" i="17" s="1"/>
  <c r="X122" i="17" s="1"/>
  <c r="X123" i="17" s="1"/>
  <c r="X124" i="17" s="1"/>
  <c r="X125" i="17" s="1"/>
  <c r="X126" i="17" s="1"/>
  <c r="X127" i="17" s="1"/>
  <c r="X128" i="17" s="1"/>
  <c r="X129" i="17" s="1"/>
  <c r="X130" i="17" s="1"/>
  <c r="X131" i="17" s="1"/>
  <c r="X132" i="17" s="1"/>
  <c r="X133" i="17" s="1"/>
  <c r="X134" i="17" s="1"/>
  <c r="X135" i="17" s="1"/>
  <c r="X136" i="17" s="1"/>
  <c r="X137" i="17" s="1"/>
  <c r="X138" i="17" s="1"/>
  <c r="X139" i="17" s="1"/>
  <c r="X140" i="17" s="1"/>
  <c r="X141" i="17" s="1"/>
  <c r="X142" i="17" s="1"/>
  <c r="X143" i="17" s="1"/>
  <c r="X144" i="17" s="1"/>
  <c r="X145" i="17" s="1"/>
  <c r="X146" i="17" s="1"/>
  <c r="X147" i="17" s="1"/>
  <c r="X148" i="17" s="1"/>
  <c r="X149" i="17" s="1"/>
  <c r="X150" i="17" s="1"/>
  <c r="X151" i="17" s="1"/>
  <c r="X152" i="17" s="1"/>
  <c r="X153" i="17" s="1"/>
  <c r="X154" i="17" s="1"/>
  <c r="X155" i="17" s="1"/>
  <c r="X156" i="17" s="1"/>
  <c r="X157" i="17" s="1"/>
  <c r="X158" i="17" s="1"/>
  <c r="X159" i="17" s="1"/>
  <c r="X160" i="17" s="1"/>
  <c r="X161" i="17" s="1"/>
  <c r="X162" i="17" s="1"/>
  <c r="X163" i="17" s="1"/>
  <c r="X164" i="17" s="1"/>
  <c r="X165" i="17" s="1"/>
  <c r="X166" i="17" s="1"/>
  <c r="X167" i="17" s="1"/>
  <c r="X168" i="17" s="1"/>
  <c r="X169" i="17" s="1"/>
  <c r="X170" i="17" s="1"/>
  <c r="X171" i="17" s="1"/>
  <c r="X172" i="17" s="1"/>
  <c r="X173" i="17" s="1"/>
  <c r="X174" i="17" s="1"/>
  <c r="X175" i="17" s="1"/>
  <c r="X176" i="17" s="1"/>
  <c r="X177" i="17" s="1"/>
  <c r="X178" i="17" s="1"/>
  <c r="X179" i="17" s="1"/>
  <c r="X180" i="17" s="1"/>
  <c r="X181" i="17" s="1"/>
  <c r="X182" i="17" s="1"/>
  <c r="X183" i="17" s="1"/>
  <c r="X184" i="17" s="1"/>
  <c r="X185" i="17" s="1"/>
  <c r="X186" i="17" s="1"/>
  <c r="X187" i="17" s="1"/>
  <c r="X188" i="17" s="1"/>
  <c r="X189" i="17" s="1"/>
  <c r="X190" i="17" s="1"/>
  <c r="X191" i="17" s="1"/>
  <c r="X192" i="17" s="1"/>
  <c r="X193" i="17" s="1"/>
  <c r="X194" i="17" s="1"/>
  <c r="X195" i="17" s="1"/>
  <c r="X196" i="17" s="1"/>
  <c r="X197" i="17" s="1"/>
  <c r="X198" i="17" s="1"/>
  <c r="X199" i="17" s="1"/>
  <c r="X200" i="17" s="1"/>
  <c r="X201" i="17" s="1"/>
  <c r="X202" i="17" s="1"/>
  <c r="X203" i="17" s="1"/>
  <c r="X204" i="17" s="1"/>
  <c r="X205" i="17" s="1"/>
  <c r="X206" i="17" s="1"/>
  <c r="X207" i="17" s="1"/>
  <c r="X208" i="17" s="1"/>
  <c r="X209" i="17" s="1"/>
  <c r="X210" i="17" s="1"/>
  <c r="X211" i="17" s="1"/>
  <c r="X212" i="17" s="1"/>
  <c r="X213" i="17" s="1"/>
  <c r="X214" i="17" s="1"/>
  <c r="X215" i="17" s="1"/>
  <c r="X216" i="17" s="1"/>
  <c r="X217" i="17" s="1"/>
  <c r="X218" i="17" s="1"/>
  <c r="X219" i="17" s="1"/>
  <c r="X220" i="17" s="1"/>
  <c r="X221" i="17" s="1"/>
  <c r="X222" i="17" s="1"/>
  <c r="X223" i="17" s="1"/>
  <c r="X224" i="17" s="1"/>
  <c r="X225" i="17" s="1"/>
  <c r="X226" i="17" s="1"/>
  <c r="X227" i="17" s="1"/>
  <c r="X228" i="17" s="1"/>
  <c r="X229" i="17" s="1"/>
  <c r="X230" i="17" s="1"/>
  <c r="X231" i="17" s="1"/>
  <c r="X232" i="17" s="1"/>
  <c r="X233" i="17" s="1"/>
  <c r="X234" i="17" s="1"/>
  <c r="X235" i="17" s="1"/>
  <c r="X236" i="17" s="1"/>
  <c r="X237" i="17" s="1"/>
  <c r="X238" i="17" s="1"/>
  <c r="X239" i="17" s="1"/>
  <c r="X240" i="17" s="1"/>
  <c r="X241" i="17" s="1"/>
  <c r="X242" i="17" s="1"/>
  <c r="X243" i="17" s="1"/>
  <c r="X244" i="17" s="1"/>
  <c r="X245" i="17" s="1"/>
  <c r="X246" i="17" s="1"/>
  <c r="X247" i="17" s="1"/>
  <c r="X248" i="17" s="1"/>
  <c r="X249" i="17" s="1"/>
  <c r="X250" i="17" s="1"/>
  <c r="X251" i="17" s="1"/>
  <c r="X252" i="17" s="1"/>
  <c r="X253" i="17" s="1"/>
  <c r="X254" i="17" s="1"/>
  <c r="X255" i="17" s="1"/>
  <c r="X256" i="17" s="1"/>
  <c r="X257" i="17" s="1"/>
  <c r="X258" i="17" s="1"/>
  <c r="X259" i="17" s="1"/>
  <c r="X260" i="17" s="1"/>
  <c r="X261" i="17" s="1"/>
  <c r="X262" i="17" s="1"/>
  <c r="X263" i="17" s="1"/>
  <c r="X264" i="17" s="1"/>
  <c r="X265" i="17" s="1"/>
  <c r="X266" i="17" s="1"/>
  <c r="X267" i="17" s="1"/>
  <c r="X268" i="17" s="1"/>
  <c r="X269" i="17" s="1"/>
  <c r="X270" i="17" s="1"/>
  <c r="X271" i="17" s="1"/>
  <c r="X272" i="17" s="1"/>
  <c r="X273" i="17" s="1"/>
  <c r="X274" i="17" s="1"/>
  <c r="X275" i="17" s="1"/>
  <c r="X276" i="17" s="1"/>
  <c r="X277" i="17" s="1"/>
  <c r="X278" i="17" s="1"/>
  <c r="X279" i="17" s="1"/>
  <c r="X280" i="17" s="1"/>
  <c r="X281" i="17" s="1"/>
  <c r="X282" i="17" s="1"/>
  <c r="X283" i="17" s="1"/>
  <c r="X284" i="17" s="1"/>
  <c r="X285" i="17" s="1"/>
  <c r="X286" i="17" s="1"/>
  <c r="X287" i="17" s="1"/>
  <c r="X288" i="17" s="1"/>
  <c r="X289" i="17" s="1"/>
  <c r="X290" i="17" s="1"/>
  <c r="X291" i="17" s="1"/>
  <c r="X292" i="17" s="1"/>
  <c r="X293" i="17" s="1"/>
  <c r="X294" i="17" s="1"/>
  <c r="X295" i="17" s="1"/>
  <c r="X296" i="17" s="1"/>
  <c r="X297" i="17" s="1"/>
  <c r="X298" i="17" s="1"/>
  <c r="X299" i="17" s="1"/>
  <c r="X300" i="17" s="1"/>
  <c r="X301" i="17" s="1"/>
  <c r="X302" i="17" s="1"/>
  <c r="X303" i="17" s="1"/>
  <c r="X304" i="17" s="1"/>
  <c r="X305" i="17" s="1"/>
  <c r="X306" i="17" s="1"/>
  <c r="X307" i="17" s="1"/>
  <c r="X308" i="17" s="1"/>
  <c r="X309" i="17" s="1"/>
  <c r="X310" i="17" s="1"/>
  <c r="X311" i="17" s="1"/>
  <c r="X312" i="17" s="1"/>
  <c r="X313" i="17" s="1"/>
  <c r="X314" i="17" s="1"/>
  <c r="X315" i="17" s="1"/>
  <c r="X316" i="17" s="1"/>
  <c r="X317" i="17" s="1"/>
  <c r="X318" i="17" s="1"/>
  <c r="X319" i="17" s="1"/>
  <c r="X320" i="17" s="1"/>
  <c r="X321" i="17" s="1"/>
  <c r="X322" i="17" s="1"/>
  <c r="X323" i="17" s="1"/>
  <c r="X324" i="17" s="1"/>
  <c r="X325" i="17" s="1"/>
  <c r="X326" i="17" s="1"/>
  <c r="X327" i="17" s="1"/>
  <c r="X328" i="17" s="1"/>
  <c r="X329" i="17" s="1"/>
  <c r="X330" i="17" s="1"/>
  <c r="X331" i="17" s="1"/>
  <c r="X332" i="17" s="1"/>
  <c r="X333" i="17" s="1"/>
  <c r="X334" i="17" s="1"/>
  <c r="X335" i="17" s="1"/>
  <c r="X336" i="17" s="1"/>
  <c r="X337" i="17" s="1"/>
  <c r="X338" i="17" s="1"/>
  <c r="X339" i="17" s="1"/>
  <c r="X340" i="17" s="1"/>
  <c r="X341" i="17" s="1"/>
  <c r="X342" i="17" s="1"/>
  <c r="X343" i="17" s="1"/>
  <c r="X344" i="17" s="1"/>
  <c r="X345" i="17" s="1"/>
  <c r="X346" i="17" s="1"/>
  <c r="X347" i="17" s="1"/>
  <c r="X348" i="17" s="1"/>
  <c r="X349" i="17" s="1"/>
  <c r="X350" i="17" s="1"/>
  <c r="X351" i="17" s="1"/>
  <c r="X352" i="17" s="1"/>
  <c r="X353" i="17" s="1"/>
  <c r="X354" i="17" s="1"/>
  <c r="X355" i="17" s="1"/>
  <c r="X356" i="17" s="1"/>
  <c r="X357" i="17" s="1"/>
  <c r="X358" i="17" s="1"/>
  <c r="X359" i="17" s="1"/>
  <c r="X360" i="17" s="1"/>
  <c r="X361" i="17" s="1"/>
  <c r="X362" i="17" s="1"/>
  <c r="X363" i="17" s="1"/>
  <c r="X364" i="17" s="1"/>
  <c r="X365" i="17" s="1"/>
  <c r="X366" i="17" s="1"/>
  <c r="X367" i="17" s="1"/>
  <c r="X369" i="17" s="1"/>
  <c r="T62" i="17"/>
  <c r="T63" i="17" s="1"/>
  <c r="T64" i="17" s="1"/>
  <c r="T65" i="17" s="1"/>
  <c r="T66" i="17" s="1"/>
  <c r="T67" i="17" s="1"/>
  <c r="T68" i="17" s="1"/>
  <c r="T69" i="17" s="1"/>
  <c r="T70" i="17" s="1"/>
  <c r="T71" i="17" s="1"/>
  <c r="T72" i="17" s="1"/>
  <c r="T73" i="17" s="1"/>
  <c r="T74" i="17" s="1"/>
  <c r="T75" i="17" s="1"/>
  <c r="T76" i="17" s="1"/>
  <c r="T77" i="17" s="1"/>
  <c r="T78" i="17" s="1"/>
  <c r="T79" i="17" s="1"/>
  <c r="T80" i="17" s="1"/>
  <c r="T81" i="17" s="1"/>
  <c r="T82" i="17" s="1"/>
  <c r="T83" i="17" s="1"/>
  <c r="T84" i="17" s="1"/>
  <c r="T85" i="17" s="1"/>
  <c r="T86" i="17" s="1"/>
  <c r="T87" i="17" s="1"/>
  <c r="T88" i="17" s="1"/>
  <c r="T89" i="17" s="1"/>
  <c r="T90" i="17" s="1"/>
  <c r="T91" i="17" s="1"/>
  <c r="T92" i="17" s="1"/>
  <c r="T93" i="17" s="1"/>
  <c r="T94" i="17" s="1"/>
  <c r="T95" i="17" s="1"/>
  <c r="T96" i="17" s="1"/>
  <c r="T97" i="17" s="1"/>
  <c r="T98" i="17" s="1"/>
  <c r="T99" i="17" s="1"/>
  <c r="T100" i="17" s="1"/>
  <c r="T101" i="17" s="1"/>
  <c r="T102" i="17" s="1"/>
  <c r="T103" i="17" s="1"/>
  <c r="T104" i="17" s="1"/>
  <c r="T105" i="17" s="1"/>
  <c r="T106" i="17" s="1"/>
  <c r="T107" i="17" s="1"/>
  <c r="T108" i="17" s="1"/>
  <c r="T109" i="17" s="1"/>
  <c r="T110" i="17" s="1"/>
  <c r="T111" i="17" s="1"/>
  <c r="T112" i="17" s="1"/>
  <c r="T113" i="17" s="1"/>
  <c r="T114" i="17" s="1"/>
  <c r="T115" i="17" s="1"/>
  <c r="T116" i="17" s="1"/>
  <c r="T117" i="17" s="1"/>
  <c r="T118" i="17" s="1"/>
  <c r="T119" i="17" s="1"/>
  <c r="T120" i="17" s="1"/>
  <c r="T121" i="17" s="1"/>
  <c r="T122" i="17" s="1"/>
  <c r="T123" i="17" s="1"/>
  <c r="T124" i="17" s="1"/>
  <c r="T125" i="17" s="1"/>
  <c r="T126" i="17" s="1"/>
  <c r="T127" i="17" s="1"/>
  <c r="T128" i="17" s="1"/>
  <c r="T129" i="17" s="1"/>
  <c r="T130" i="17" s="1"/>
  <c r="T131" i="17" s="1"/>
  <c r="T132" i="17" s="1"/>
  <c r="T133" i="17" s="1"/>
  <c r="T134" i="17" s="1"/>
  <c r="T135" i="17" s="1"/>
  <c r="T136" i="17" s="1"/>
  <c r="T137" i="17" s="1"/>
  <c r="T138" i="17" s="1"/>
  <c r="T139" i="17" s="1"/>
  <c r="T140" i="17" s="1"/>
  <c r="T141" i="17" s="1"/>
  <c r="T142" i="17" s="1"/>
  <c r="T143" i="17" s="1"/>
  <c r="T144" i="17" s="1"/>
  <c r="T145" i="17" s="1"/>
  <c r="T146" i="17" s="1"/>
  <c r="T147" i="17" s="1"/>
  <c r="T148" i="17" s="1"/>
  <c r="T149" i="17" s="1"/>
  <c r="T150" i="17" s="1"/>
  <c r="T151" i="17" s="1"/>
  <c r="T152" i="17" s="1"/>
  <c r="T153" i="17" s="1"/>
  <c r="T154" i="17" s="1"/>
  <c r="T155" i="17" s="1"/>
  <c r="T156" i="17" s="1"/>
  <c r="T157" i="17" s="1"/>
  <c r="T158" i="17" s="1"/>
  <c r="T159" i="17" s="1"/>
  <c r="T160" i="17" s="1"/>
  <c r="T161" i="17" s="1"/>
  <c r="T162" i="17" s="1"/>
  <c r="T163" i="17" s="1"/>
  <c r="T164" i="17" s="1"/>
  <c r="T165" i="17" s="1"/>
  <c r="T166" i="17" s="1"/>
  <c r="T167" i="17" s="1"/>
  <c r="T168" i="17" s="1"/>
  <c r="T169" i="17" s="1"/>
  <c r="T170" i="17" s="1"/>
  <c r="T171" i="17" s="1"/>
  <c r="T172" i="17" s="1"/>
  <c r="T173" i="17" s="1"/>
  <c r="T174" i="17" s="1"/>
  <c r="T175" i="17" s="1"/>
  <c r="T176" i="17" s="1"/>
  <c r="T177" i="17" s="1"/>
  <c r="T178" i="17" s="1"/>
  <c r="T179" i="17" s="1"/>
  <c r="T180" i="17" s="1"/>
  <c r="T181" i="17" s="1"/>
  <c r="T182" i="17" s="1"/>
  <c r="T183" i="17" s="1"/>
  <c r="T184" i="17" s="1"/>
  <c r="T185" i="17" s="1"/>
  <c r="T186" i="17" s="1"/>
  <c r="T187" i="17" s="1"/>
  <c r="T188" i="17" s="1"/>
  <c r="T189" i="17" s="1"/>
  <c r="T190" i="17" s="1"/>
  <c r="T191" i="17" s="1"/>
  <c r="T192" i="17" s="1"/>
  <c r="T193" i="17" s="1"/>
  <c r="T194" i="17" s="1"/>
  <c r="T195" i="17" s="1"/>
  <c r="T196" i="17" s="1"/>
  <c r="T197" i="17" s="1"/>
  <c r="T198" i="17" s="1"/>
  <c r="T199" i="17" s="1"/>
  <c r="T200" i="17" s="1"/>
  <c r="T201" i="17" s="1"/>
  <c r="T202" i="17" s="1"/>
  <c r="T203" i="17" s="1"/>
  <c r="T204" i="17" s="1"/>
  <c r="T205" i="17" s="1"/>
  <c r="T206" i="17" s="1"/>
  <c r="T207" i="17" s="1"/>
  <c r="T208" i="17" s="1"/>
  <c r="T209" i="17" s="1"/>
  <c r="T210" i="17" s="1"/>
  <c r="T211" i="17" s="1"/>
  <c r="T212" i="17" s="1"/>
  <c r="T213" i="17" s="1"/>
  <c r="T214" i="17" s="1"/>
  <c r="T215" i="17" s="1"/>
  <c r="T216" i="17" s="1"/>
  <c r="T217" i="17" s="1"/>
  <c r="T218" i="17" s="1"/>
  <c r="T219" i="17" s="1"/>
  <c r="T220" i="17" s="1"/>
  <c r="T221" i="17" s="1"/>
  <c r="T222" i="17" s="1"/>
  <c r="T223" i="17" s="1"/>
  <c r="T224" i="17" s="1"/>
  <c r="T225" i="17" s="1"/>
  <c r="T226" i="17" s="1"/>
  <c r="T227" i="17" s="1"/>
  <c r="T228" i="17" s="1"/>
  <c r="AB62" i="17"/>
  <c r="AB63" i="17" s="1"/>
  <c r="AB64" i="17" s="1"/>
  <c r="AB65" i="17" s="1"/>
  <c r="AB66" i="17" s="1"/>
  <c r="AB67" i="17" s="1"/>
  <c r="AB68" i="17" s="1"/>
  <c r="AB69" i="17" s="1"/>
  <c r="AB70" i="17" s="1"/>
  <c r="AB71" i="17" s="1"/>
  <c r="AB72" i="17" s="1"/>
  <c r="AB73" i="17" s="1"/>
  <c r="AB74" i="17" s="1"/>
  <c r="AB75" i="17" s="1"/>
  <c r="AB76" i="17" s="1"/>
  <c r="AB77" i="17" s="1"/>
  <c r="AB78" i="17" s="1"/>
  <c r="AB79" i="17" s="1"/>
  <c r="AB80" i="17" s="1"/>
  <c r="AB81" i="17" s="1"/>
  <c r="AB82" i="17" s="1"/>
  <c r="AB83" i="17" s="1"/>
  <c r="AB84" i="17" s="1"/>
  <c r="AB85" i="17" s="1"/>
  <c r="AB86" i="17" s="1"/>
  <c r="AB87" i="17" s="1"/>
  <c r="AB88" i="17" s="1"/>
  <c r="AB89" i="17" s="1"/>
  <c r="AB90" i="17" s="1"/>
  <c r="AB91" i="17" s="1"/>
  <c r="AB92" i="17" s="1"/>
  <c r="AB93" i="17" s="1"/>
  <c r="AB94" i="17" s="1"/>
  <c r="AB95" i="17" s="1"/>
  <c r="AB96" i="17" s="1"/>
  <c r="AB97" i="17" s="1"/>
  <c r="AB98" i="17" s="1"/>
  <c r="AB99" i="17" s="1"/>
  <c r="AB100" i="17" s="1"/>
  <c r="AB101" i="17" s="1"/>
  <c r="AB102" i="17" s="1"/>
  <c r="AB103" i="17" s="1"/>
  <c r="AB104" i="17" s="1"/>
  <c r="AB105" i="17" s="1"/>
  <c r="AB106" i="17" s="1"/>
  <c r="AB107" i="17" s="1"/>
  <c r="AB108" i="17" s="1"/>
  <c r="AB109" i="17" s="1"/>
  <c r="AB110" i="17" s="1"/>
  <c r="AB111" i="17" s="1"/>
  <c r="AB112" i="17" s="1"/>
  <c r="AB113" i="17" s="1"/>
  <c r="AB114" i="17" s="1"/>
  <c r="AB115" i="17" s="1"/>
  <c r="AB116" i="17" s="1"/>
  <c r="AB117" i="17" s="1"/>
  <c r="AB118" i="17" s="1"/>
  <c r="AB119" i="17" s="1"/>
  <c r="AB120" i="17" s="1"/>
  <c r="AB121" i="17" s="1"/>
  <c r="AB122" i="17" s="1"/>
  <c r="AB123" i="17" s="1"/>
  <c r="AB124" i="17" s="1"/>
  <c r="AB125" i="17" s="1"/>
  <c r="AB126" i="17" s="1"/>
  <c r="AB127" i="17" s="1"/>
  <c r="AB128" i="17" s="1"/>
  <c r="AB129" i="17" s="1"/>
  <c r="AB130" i="17" s="1"/>
  <c r="AB131" i="17" s="1"/>
  <c r="AB132" i="17" s="1"/>
  <c r="AB133" i="17" s="1"/>
  <c r="AB134" i="17" s="1"/>
  <c r="AB135" i="17" s="1"/>
  <c r="AB136" i="17" s="1"/>
  <c r="AB137" i="17" s="1"/>
  <c r="AB138" i="17" s="1"/>
  <c r="AB139" i="17" s="1"/>
  <c r="AB140" i="17" s="1"/>
  <c r="AB141" i="17" s="1"/>
  <c r="AB142" i="17" s="1"/>
  <c r="AB143" i="17" s="1"/>
  <c r="AB144" i="17" s="1"/>
  <c r="AB145" i="17" s="1"/>
  <c r="AB146" i="17" s="1"/>
  <c r="AB147" i="17" s="1"/>
  <c r="AB148" i="17" s="1"/>
  <c r="AB149" i="17" s="1"/>
  <c r="AB150" i="17" s="1"/>
  <c r="AB151" i="17" s="1"/>
  <c r="AB152" i="17" s="1"/>
  <c r="AB153" i="17" s="1"/>
  <c r="AB154" i="17" s="1"/>
  <c r="AB155" i="17" s="1"/>
  <c r="AB156" i="17" s="1"/>
  <c r="AB157" i="17" s="1"/>
  <c r="AB158" i="17" s="1"/>
  <c r="AB159" i="17" s="1"/>
  <c r="AB160" i="17" s="1"/>
  <c r="AB161" i="17" s="1"/>
  <c r="AB162" i="17" s="1"/>
  <c r="AB163" i="17" s="1"/>
  <c r="AB164" i="17" s="1"/>
  <c r="AB165" i="17" s="1"/>
  <c r="AB166" i="17" s="1"/>
  <c r="AB167" i="17" s="1"/>
  <c r="AB168" i="17" s="1"/>
  <c r="AB169" i="17" s="1"/>
  <c r="AB170" i="17" s="1"/>
  <c r="AB171" i="17" s="1"/>
  <c r="AB172" i="17" s="1"/>
  <c r="AB173" i="17" s="1"/>
  <c r="AB174" i="17" s="1"/>
  <c r="AB175" i="17" s="1"/>
  <c r="AB176" i="17" s="1"/>
  <c r="AB177" i="17" s="1"/>
  <c r="AB178" i="17" s="1"/>
  <c r="AB179" i="17" s="1"/>
  <c r="AB180" i="17" s="1"/>
  <c r="AB181" i="17" s="1"/>
  <c r="AB182" i="17" s="1"/>
  <c r="AB183" i="17" s="1"/>
  <c r="AB184" i="17" s="1"/>
  <c r="AB185" i="17" s="1"/>
  <c r="AB186" i="17" s="1"/>
  <c r="AB187" i="17" s="1"/>
  <c r="AB188" i="17" s="1"/>
  <c r="AB189" i="17" s="1"/>
  <c r="AB190" i="17" s="1"/>
  <c r="AB191" i="17" s="1"/>
  <c r="AB192" i="17" s="1"/>
  <c r="AB193" i="17" s="1"/>
  <c r="AB194" i="17" s="1"/>
  <c r="AB195" i="17" s="1"/>
  <c r="AB196" i="17" s="1"/>
  <c r="AB197" i="17" s="1"/>
  <c r="AB198" i="17" s="1"/>
  <c r="AB199" i="17" s="1"/>
  <c r="AB200" i="17" s="1"/>
  <c r="AB201" i="17" s="1"/>
  <c r="AB202" i="17" s="1"/>
  <c r="AB203" i="17" s="1"/>
  <c r="AB204" i="17" s="1"/>
  <c r="AB205" i="17" s="1"/>
  <c r="AB206" i="17" s="1"/>
  <c r="AB207" i="17" s="1"/>
  <c r="AB208" i="17" s="1"/>
  <c r="AB209" i="17" s="1"/>
  <c r="AB210" i="17" s="1"/>
  <c r="AB211" i="17" s="1"/>
  <c r="AB212" i="17" s="1"/>
  <c r="AB213" i="17" s="1"/>
  <c r="AB214" i="17" s="1"/>
  <c r="AB215" i="17" s="1"/>
  <c r="AB216" i="17" s="1"/>
  <c r="AB217" i="17" s="1"/>
  <c r="AB218" i="17" s="1"/>
  <c r="AB219" i="17" s="1"/>
  <c r="AB220" i="17" s="1"/>
  <c r="AB221" i="17" s="1"/>
  <c r="AB222" i="17" s="1"/>
  <c r="AB223" i="17" s="1"/>
  <c r="AB224" i="17" s="1"/>
  <c r="AB225" i="17" s="1"/>
  <c r="AB226" i="17" s="1"/>
  <c r="AB227" i="17" s="1"/>
  <c r="AB228" i="17" s="1"/>
  <c r="AB229" i="17" s="1"/>
  <c r="AB230" i="17" s="1"/>
  <c r="AB231" i="17" s="1"/>
  <c r="AB232" i="17" s="1"/>
  <c r="AB233" i="17" s="1"/>
  <c r="AB234" i="17" s="1"/>
  <c r="AB235" i="17" s="1"/>
  <c r="AB236" i="17" s="1"/>
  <c r="AB237" i="17" s="1"/>
  <c r="AB238" i="17" s="1"/>
  <c r="AB239" i="17" s="1"/>
  <c r="AB240" i="17" s="1"/>
  <c r="AB241" i="17" s="1"/>
  <c r="AB242" i="17" s="1"/>
  <c r="AB243" i="17" s="1"/>
  <c r="AB244" i="17" s="1"/>
  <c r="AB245" i="17" s="1"/>
  <c r="AB246" i="17" s="1"/>
  <c r="AB247" i="17" s="1"/>
  <c r="AB248" i="17" s="1"/>
  <c r="AB249" i="17" s="1"/>
  <c r="AB250" i="17" s="1"/>
  <c r="AB251" i="17" s="1"/>
  <c r="AB252" i="17" s="1"/>
  <c r="AB253" i="17" s="1"/>
  <c r="AB254" i="17" s="1"/>
  <c r="AB255" i="17" s="1"/>
  <c r="AB256" i="17" s="1"/>
  <c r="AB257" i="17" s="1"/>
  <c r="AB258" i="17" s="1"/>
  <c r="AB259" i="17" s="1"/>
  <c r="AB260" i="17" s="1"/>
  <c r="AB261" i="17" s="1"/>
  <c r="AB262" i="17" s="1"/>
  <c r="AB263" i="17" s="1"/>
  <c r="AB264" i="17" s="1"/>
  <c r="AB265" i="17" s="1"/>
  <c r="AB266" i="17" s="1"/>
  <c r="AB267" i="17" s="1"/>
  <c r="AB268" i="17" s="1"/>
  <c r="AB269" i="17" s="1"/>
  <c r="AB270" i="17" s="1"/>
  <c r="AB271" i="17" s="1"/>
  <c r="AB272" i="17" s="1"/>
  <c r="AB273" i="17" s="1"/>
  <c r="AB274" i="17" s="1"/>
  <c r="AB275" i="17" s="1"/>
  <c r="AB276" i="17" s="1"/>
  <c r="AB277" i="17" s="1"/>
  <c r="AB278" i="17" s="1"/>
  <c r="AB279" i="17" s="1"/>
  <c r="AB280" i="17" s="1"/>
  <c r="AB281" i="17" s="1"/>
  <c r="AB282" i="17" s="1"/>
  <c r="AB283" i="17" s="1"/>
  <c r="AB284" i="17" s="1"/>
  <c r="AB285" i="17" s="1"/>
  <c r="AB286" i="17" s="1"/>
  <c r="AB287" i="17" s="1"/>
  <c r="AB288" i="17" s="1"/>
  <c r="AB289" i="17" s="1"/>
  <c r="AB290" i="17" s="1"/>
  <c r="AB291" i="17" s="1"/>
  <c r="AB292" i="17" s="1"/>
  <c r="AB293" i="17" s="1"/>
  <c r="AB294" i="17" s="1"/>
  <c r="AB295" i="17" s="1"/>
  <c r="AB296" i="17" s="1"/>
  <c r="AB297" i="17" s="1"/>
  <c r="AB298" i="17" s="1"/>
  <c r="AB299" i="17" s="1"/>
  <c r="AB300" i="17" s="1"/>
  <c r="AB301" i="17" s="1"/>
  <c r="AB302" i="17" s="1"/>
  <c r="AB303" i="17" s="1"/>
  <c r="AB304" i="17" s="1"/>
  <c r="AB305" i="17" s="1"/>
  <c r="AB306" i="17" s="1"/>
  <c r="AB307" i="17" s="1"/>
  <c r="AB308" i="17" s="1"/>
  <c r="AB309" i="17" s="1"/>
  <c r="AB310" i="17" s="1"/>
  <c r="AB311" i="17" s="1"/>
  <c r="AB312" i="17" s="1"/>
  <c r="AB313" i="17" s="1"/>
  <c r="AB314" i="17" s="1"/>
  <c r="AB315" i="17" s="1"/>
  <c r="AB316" i="17" s="1"/>
  <c r="AB317" i="17" s="1"/>
  <c r="AB318" i="17" s="1"/>
  <c r="AB319" i="17" s="1"/>
  <c r="AB320" i="17" s="1"/>
  <c r="AB321" i="17" s="1"/>
  <c r="AB322" i="17" s="1"/>
  <c r="AB323" i="17" s="1"/>
  <c r="AB324" i="17" s="1"/>
  <c r="AB325" i="17" s="1"/>
  <c r="AB326" i="17" s="1"/>
  <c r="AB327" i="17" s="1"/>
  <c r="AB328" i="17" s="1"/>
  <c r="AB329" i="17" s="1"/>
  <c r="AB330" i="17" s="1"/>
  <c r="AB331" i="17" s="1"/>
  <c r="AB332" i="17" s="1"/>
  <c r="AB333" i="17" s="1"/>
  <c r="AB334" i="17" s="1"/>
  <c r="AB335" i="17" s="1"/>
  <c r="AB336" i="17" s="1"/>
  <c r="AB337" i="17" s="1"/>
  <c r="AB338" i="17" s="1"/>
  <c r="AB339" i="17" s="1"/>
  <c r="AB340" i="17" s="1"/>
  <c r="AB341" i="17" s="1"/>
  <c r="AB342" i="17" s="1"/>
  <c r="AB343" i="17" s="1"/>
  <c r="AB344" i="17" s="1"/>
  <c r="AB345" i="17" s="1"/>
  <c r="AB346" i="17" s="1"/>
  <c r="AB347" i="17" s="1"/>
  <c r="AB348" i="17" s="1"/>
  <c r="AB349" i="17" s="1"/>
  <c r="AB350" i="17" s="1"/>
  <c r="AB351" i="17" s="1"/>
  <c r="AB352" i="17" s="1"/>
  <c r="AB353" i="17" s="1"/>
  <c r="AB354" i="17" s="1"/>
  <c r="AB355" i="17" s="1"/>
  <c r="AB356" i="17" s="1"/>
  <c r="AB357" i="17" s="1"/>
  <c r="AB358" i="17" s="1"/>
  <c r="AB359" i="17" s="1"/>
  <c r="AB360" i="17" s="1"/>
  <c r="AB361" i="17" s="1"/>
  <c r="AB362" i="17" s="1"/>
  <c r="AB363" i="17" s="1"/>
  <c r="AB364" i="17" s="1"/>
  <c r="AB365" i="17" s="1"/>
  <c r="AB366" i="17" s="1"/>
  <c r="W62" i="17"/>
  <c r="W63" i="17" s="1"/>
  <c r="W64" i="17" s="1"/>
  <c r="W65" i="17" s="1"/>
  <c r="W66" i="17" s="1"/>
  <c r="W67" i="17" s="1"/>
  <c r="W68" i="17" s="1"/>
  <c r="W69" i="17" s="1"/>
  <c r="W70" i="17" s="1"/>
  <c r="W71" i="17" s="1"/>
  <c r="W72" i="17" s="1"/>
  <c r="W73" i="17" s="1"/>
  <c r="W74" i="17" s="1"/>
  <c r="W75" i="17" s="1"/>
  <c r="W76" i="17" s="1"/>
  <c r="W77" i="17" s="1"/>
  <c r="W78" i="17" s="1"/>
  <c r="W79" i="17" s="1"/>
  <c r="W80" i="17" s="1"/>
  <c r="W81" i="17" s="1"/>
  <c r="W82" i="17" s="1"/>
  <c r="W83" i="17" s="1"/>
  <c r="W84" i="17" s="1"/>
  <c r="W85" i="17" s="1"/>
  <c r="W86" i="17" s="1"/>
  <c r="W87" i="17" s="1"/>
  <c r="W88" i="17" s="1"/>
  <c r="W89" i="17" s="1"/>
  <c r="W90" i="17" s="1"/>
  <c r="W91" i="17" s="1"/>
  <c r="W92" i="17" s="1"/>
  <c r="W93" i="17" s="1"/>
  <c r="W94" i="17" s="1"/>
  <c r="W95" i="17" s="1"/>
  <c r="W96" i="17" s="1"/>
  <c r="W97" i="17" s="1"/>
  <c r="W98" i="17" s="1"/>
  <c r="W99" i="17" s="1"/>
  <c r="W100" i="17" s="1"/>
  <c r="W101" i="17" s="1"/>
  <c r="W102" i="17" s="1"/>
  <c r="W103" i="17" s="1"/>
  <c r="W104" i="17" s="1"/>
  <c r="W105" i="17" s="1"/>
  <c r="W106" i="17" s="1"/>
  <c r="W107" i="17" s="1"/>
  <c r="W108" i="17" s="1"/>
  <c r="W109" i="17" s="1"/>
  <c r="W110" i="17" s="1"/>
  <c r="W111" i="17" s="1"/>
  <c r="W112" i="17" s="1"/>
  <c r="W113" i="17" s="1"/>
  <c r="W114" i="17" s="1"/>
  <c r="W115" i="17" s="1"/>
  <c r="W116" i="17" s="1"/>
  <c r="W117" i="17" s="1"/>
  <c r="W118" i="17" s="1"/>
  <c r="W119" i="17" s="1"/>
  <c r="W120" i="17" s="1"/>
  <c r="W121" i="17" s="1"/>
  <c r="W122" i="17" s="1"/>
  <c r="W123" i="17" s="1"/>
  <c r="W124" i="17" s="1"/>
  <c r="W125" i="17" s="1"/>
  <c r="W126" i="17" s="1"/>
  <c r="W127" i="17" s="1"/>
  <c r="W128" i="17" s="1"/>
  <c r="W129" i="17" s="1"/>
  <c r="W130" i="17" s="1"/>
  <c r="W131" i="17" s="1"/>
  <c r="W132" i="17" s="1"/>
  <c r="W133" i="17" s="1"/>
  <c r="W134" i="17" s="1"/>
  <c r="W135" i="17" s="1"/>
  <c r="W136" i="17" s="1"/>
  <c r="W137" i="17" s="1"/>
  <c r="W138" i="17" s="1"/>
  <c r="W139" i="17" s="1"/>
  <c r="W140" i="17" s="1"/>
  <c r="W141" i="17" s="1"/>
  <c r="W142" i="17" s="1"/>
  <c r="W143" i="17" s="1"/>
  <c r="W144" i="17" s="1"/>
  <c r="W145" i="17" s="1"/>
  <c r="W146" i="17" s="1"/>
  <c r="W147" i="17" s="1"/>
  <c r="W148" i="17" s="1"/>
  <c r="W149" i="17" s="1"/>
  <c r="W150" i="17" s="1"/>
  <c r="W151" i="17" s="1"/>
  <c r="W152" i="17" s="1"/>
  <c r="W153" i="17" s="1"/>
  <c r="W154" i="17" s="1"/>
  <c r="W155" i="17" s="1"/>
  <c r="W156" i="17" s="1"/>
  <c r="W157" i="17" s="1"/>
  <c r="W158" i="17" s="1"/>
  <c r="W159" i="17" s="1"/>
  <c r="W160" i="17" s="1"/>
  <c r="W161" i="17" s="1"/>
  <c r="W162" i="17" s="1"/>
  <c r="W163" i="17" s="1"/>
  <c r="W164" i="17" s="1"/>
  <c r="W165" i="17" s="1"/>
  <c r="W166" i="17" s="1"/>
  <c r="W167" i="17" s="1"/>
  <c r="W168" i="17" s="1"/>
  <c r="W169" i="17" s="1"/>
  <c r="W170" i="17" s="1"/>
  <c r="W171" i="17" s="1"/>
  <c r="W172" i="17" s="1"/>
  <c r="W173" i="17" s="1"/>
  <c r="W174" i="17" s="1"/>
  <c r="W175" i="17" s="1"/>
  <c r="W176" i="17" s="1"/>
  <c r="W177" i="17" s="1"/>
  <c r="W178" i="17" s="1"/>
  <c r="W179" i="17" s="1"/>
  <c r="W180" i="17" s="1"/>
  <c r="W181" i="17" s="1"/>
  <c r="W182" i="17" s="1"/>
  <c r="W183" i="17" s="1"/>
  <c r="W184" i="17" s="1"/>
  <c r="W185" i="17" s="1"/>
  <c r="W186" i="17" s="1"/>
  <c r="W187" i="17" s="1"/>
  <c r="W188" i="17" s="1"/>
  <c r="W189" i="17" s="1"/>
  <c r="W190" i="17" s="1"/>
  <c r="W191" i="17" s="1"/>
  <c r="W192" i="17" s="1"/>
  <c r="W193" i="17" s="1"/>
  <c r="W194" i="17" s="1"/>
  <c r="W195" i="17" s="1"/>
  <c r="W196" i="17" s="1"/>
  <c r="W197" i="17" s="1"/>
  <c r="W198" i="17" s="1"/>
  <c r="W199" i="17" s="1"/>
  <c r="W200" i="17" s="1"/>
  <c r="W201" i="17" s="1"/>
  <c r="W202" i="17" s="1"/>
  <c r="W203" i="17" s="1"/>
  <c r="W204" i="17" s="1"/>
  <c r="W205" i="17" s="1"/>
  <c r="W206" i="17" s="1"/>
  <c r="W207" i="17" s="1"/>
  <c r="W208" i="17" s="1"/>
  <c r="W209" i="17" s="1"/>
  <c r="W210" i="17" s="1"/>
  <c r="W211" i="17" s="1"/>
  <c r="W212" i="17" s="1"/>
  <c r="W213" i="17" s="1"/>
  <c r="W214" i="17" s="1"/>
  <c r="W215" i="17" s="1"/>
  <c r="W216" i="17" s="1"/>
  <c r="W217" i="17" s="1"/>
  <c r="W218" i="17" s="1"/>
  <c r="W219" i="17" s="1"/>
  <c r="W220" i="17" s="1"/>
  <c r="W221" i="17" s="1"/>
  <c r="W222" i="17" s="1"/>
  <c r="W223" i="17" s="1"/>
  <c r="W224" i="17" s="1"/>
  <c r="W225" i="17" s="1"/>
  <c r="W226" i="17" s="1"/>
  <c r="W227" i="17" s="1"/>
  <c r="W228" i="17" s="1"/>
  <c r="W229" i="17" s="1"/>
  <c r="W230" i="17" s="1"/>
  <c r="W231" i="17" s="1"/>
  <c r="W232" i="17" s="1"/>
  <c r="W233" i="17" s="1"/>
  <c r="W234" i="17" s="1"/>
  <c r="W235" i="17" s="1"/>
  <c r="W236" i="17" s="1"/>
  <c r="W237" i="17" s="1"/>
  <c r="W238" i="17" s="1"/>
  <c r="W239" i="17" s="1"/>
  <c r="W240" i="17" s="1"/>
  <c r="W241" i="17" s="1"/>
  <c r="W242" i="17" s="1"/>
  <c r="W243" i="17" s="1"/>
  <c r="W244" i="17" s="1"/>
  <c r="W245" i="17" s="1"/>
  <c r="W246" i="17" s="1"/>
  <c r="W247" i="17" s="1"/>
  <c r="W248" i="17" s="1"/>
  <c r="W249" i="17" s="1"/>
  <c r="W250" i="17" s="1"/>
  <c r="W251" i="17" s="1"/>
  <c r="W252" i="17" s="1"/>
  <c r="W253" i="17" s="1"/>
  <c r="W254" i="17" s="1"/>
  <c r="W255" i="17" s="1"/>
  <c r="W256" i="17" s="1"/>
  <c r="W257" i="17" s="1"/>
  <c r="W258" i="17" s="1"/>
  <c r="W259" i="17" s="1"/>
  <c r="W260" i="17" s="1"/>
  <c r="W261" i="17" s="1"/>
  <c r="W262" i="17" s="1"/>
  <c r="W263" i="17" s="1"/>
  <c r="W264" i="17" s="1"/>
  <c r="W265" i="17" s="1"/>
  <c r="W266" i="17" s="1"/>
  <c r="W267" i="17" s="1"/>
  <c r="W268" i="17" s="1"/>
  <c r="W269" i="17" s="1"/>
  <c r="W270" i="17" s="1"/>
  <c r="W271" i="17" s="1"/>
  <c r="W272" i="17" s="1"/>
  <c r="W273" i="17" s="1"/>
  <c r="W274" i="17" s="1"/>
  <c r="W275" i="17" s="1"/>
  <c r="W276" i="17" s="1"/>
  <c r="W277" i="17" s="1"/>
  <c r="W278" i="17" s="1"/>
  <c r="W279" i="17" s="1"/>
  <c r="W280" i="17" s="1"/>
  <c r="W281" i="17" s="1"/>
  <c r="W282" i="17" s="1"/>
  <c r="W283" i="17" s="1"/>
  <c r="W284" i="17" s="1"/>
  <c r="W285" i="17" s="1"/>
  <c r="W286" i="17" s="1"/>
  <c r="W287" i="17" s="1"/>
  <c r="W288" i="17" s="1"/>
  <c r="W289" i="17" s="1"/>
  <c r="W290" i="17" s="1"/>
  <c r="W291" i="17" s="1"/>
  <c r="W292" i="17" s="1"/>
  <c r="W293" i="17" s="1"/>
  <c r="W294" i="17" s="1"/>
  <c r="W295" i="17" s="1"/>
  <c r="W296" i="17" s="1"/>
  <c r="W297" i="17" s="1"/>
  <c r="W298" i="17" s="1"/>
  <c r="W299" i="17" s="1"/>
  <c r="W300" i="17" s="1"/>
  <c r="W301" i="17" s="1"/>
  <c r="W302" i="17" s="1"/>
  <c r="W303" i="17" s="1"/>
  <c r="W304" i="17" s="1"/>
  <c r="W305" i="17" s="1"/>
  <c r="W306" i="17" s="1"/>
  <c r="W307" i="17" s="1"/>
  <c r="W308" i="17" s="1"/>
  <c r="W309" i="17" s="1"/>
  <c r="W310" i="17" s="1"/>
  <c r="W311" i="17" s="1"/>
  <c r="W312" i="17" s="1"/>
  <c r="W313" i="17" s="1"/>
  <c r="W314" i="17" s="1"/>
  <c r="W315" i="17" s="1"/>
  <c r="W316" i="17" s="1"/>
  <c r="W317" i="17" s="1"/>
  <c r="W318" i="17" s="1"/>
  <c r="W319" i="17" s="1"/>
  <c r="W320" i="17" s="1"/>
  <c r="W321" i="17" s="1"/>
  <c r="W322" i="17" s="1"/>
  <c r="W323" i="17" s="1"/>
  <c r="W324" i="17" s="1"/>
  <c r="W325" i="17" s="1"/>
  <c r="W326" i="17" s="1"/>
  <c r="W327" i="17" s="1"/>
  <c r="W328" i="17" s="1"/>
  <c r="W329" i="17" s="1"/>
  <c r="W330" i="17" s="1"/>
  <c r="W331" i="17" s="1"/>
  <c r="W332" i="17" s="1"/>
  <c r="W333" i="17" s="1"/>
  <c r="W334" i="17" s="1"/>
  <c r="W335" i="17" s="1"/>
  <c r="W336" i="17" s="1"/>
  <c r="W337" i="17" s="1"/>
  <c r="W338" i="17" s="1"/>
  <c r="W339" i="17" s="1"/>
  <c r="W340" i="17" s="1"/>
  <c r="W341" i="17" s="1"/>
  <c r="W342" i="17" s="1"/>
  <c r="W343" i="17" s="1"/>
  <c r="W344" i="17" s="1"/>
  <c r="W345" i="17" s="1"/>
  <c r="W346" i="17" s="1"/>
  <c r="W347" i="17" s="1"/>
  <c r="W348" i="17" s="1"/>
  <c r="W349" i="17" s="1"/>
  <c r="W350" i="17" s="1"/>
  <c r="W351" i="17" s="1"/>
  <c r="W352" i="17" s="1"/>
  <c r="W353" i="17" s="1"/>
  <c r="W354" i="17" s="1"/>
  <c r="W355" i="17" s="1"/>
  <c r="W356" i="17" s="1"/>
  <c r="W357" i="17" s="1"/>
  <c r="W358" i="17" s="1"/>
  <c r="W359" i="17" s="1"/>
  <c r="W360" i="17" s="1"/>
  <c r="W361" i="17" s="1"/>
  <c r="W362" i="17" s="1"/>
  <c r="W363" i="17" s="1"/>
  <c r="W364" i="17" s="1"/>
  <c r="W365" i="17" s="1"/>
  <c r="W366" i="17" s="1"/>
  <c r="W367" i="17" s="1"/>
  <c r="W369" i="17" s="1"/>
  <c r="AA62" i="17"/>
  <c r="AA63" i="17" s="1"/>
  <c r="AA64" i="17" s="1"/>
  <c r="AA65" i="17" s="1"/>
  <c r="AA66" i="17" s="1"/>
  <c r="AA67" i="17" s="1"/>
  <c r="AA68" i="17" s="1"/>
  <c r="AA69" i="17" s="1"/>
  <c r="AA70" i="17" s="1"/>
  <c r="AA71" i="17" s="1"/>
  <c r="AA72" i="17" s="1"/>
  <c r="AA73" i="17" s="1"/>
  <c r="AA74" i="17" s="1"/>
  <c r="AA75" i="17" s="1"/>
  <c r="AA76" i="17" s="1"/>
  <c r="AA77" i="17" s="1"/>
  <c r="AA78" i="17" s="1"/>
  <c r="AA79" i="17" s="1"/>
  <c r="AA80" i="17" s="1"/>
  <c r="AA81" i="17" s="1"/>
  <c r="AA82" i="17" s="1"/>
  <c r="AA83" i="17" s="1"/>
  <c r="AA84" i="17" s="1"/>
  <c r="AA85" i="17" s="1"/>
  <c r="AA86" i="17" s="1"/>
  <c r="AA87" i="17" s="1"/>
  <c r="AA88" i="17" s="1"/>
  <c r="AA89" i="17" s="1"/>
  <c r="AA90" i="17" s="1"/>
  <c r="AA91" i="17" s="1"/>
  <c r="AA92" i="17" s="1"/>
  <c r="AA93" i="17" s="1"/>
  <c r="AA94" i="17" s="1"/>
  <c r="AA95" i="17" s="1"/>
  <c r="AA96" i="17" s="1"/>
  <c r="AA97" i="17" s="1"/>
  <c r="AA98" i="17" s="1"/>
  <c r="AA99" i="17" s="1"/>
  <c r="AA100" i="17" s="1"/>
  <c r="AA101" i="17" s="1"/>
  <c r="AA102" i="17" s="1"/>
  <c r="AA103" i="17" s="1"/>
  <c r="AA104" i="17" s="1"/>
  <c r="AA105" i="17" s="1"/>
  <c r="AA106" i="17" s="1"/>
  <c r="AA107" i="17" s="1"/>
  <c r="AA108" i="17" s="1"/>
  <c r="AA109" i="17" s="1"/>
  <c r="AA110" i="17" s="1"/>
  <c r="AA111" i="17" s="1"/>
  <c r="AA112" i="17" s="1"/>
  <c r="AA113" i="17" s="1"/>
  <c r="AA114" i="17" s="1"/>
  <c r="AA115" i="17" s="1"/>
  <c r="AA116" i="17" s="1"/>
  <c r="AA117" i="17" s="1"/>
  <c r="AA118" i="17" s="1"/>
  <c r="AA119" i="17" s="1"/>
  <c r="AA120" i="17" s="1"/>
  <c r="AA121" i="17" s="1"/>
  <c r="AA122" i="17" s="1"/>
  <c r="AA123" i="17" s="1"/>
  <c r="AA124" i="17" s="1"/>
  <c r="AA125" i="17" s="1"/>
  <c r="AA126" i="17" s="1"/>
  <c r="AA127" i="17" s="1"/>
  <c r="AA128" i="17" s="1"/>
  <c r="AA129" i="17" s="1"/>
  <c r="AA130" i="17" s="1"/>
  <c r="AA131" i="17" s="1"/>
  <c r="AA132" i="17" s="1"/>
  <c r="AA133" i="17" s="1"/>
  <c r="AA134" i="17" s="1"/>
  <c r="AA135" i="17" s="1"/>
  <c r="AA136" i="17" s="1"/>
  <c r="AA137" i="17" s="1"/>
  <c r="AA138" i="17" s="1"/>
  <c r="AA139" i="17" s="1"/>
  <c r="AA140" i="17" s="1"/>
  <c r="AA141" i="17" s="1"/>
  <c r="AA142" i="17" s="1"/>
  <c r="AA143" i="17" s="1"/>
  <c r="AA144" i="17" s="1"/>
  <c r="AA145" i="17" s="1"/>
  <c r="AA146" i="17" s="1"/>
  <c r="AA147" i="17" s="1"/>
  <c r="AA148" i="17" s="1"/>
  <c r="AA149" i="17" s="1"/>
  <c r="AA150" i="17" s="1"/>
  <c r="AA151" i="17" s="1"/>
  <c r="AA152" i="17" s="1"/>
  <c r="AA153" i="17" s="1"/>
  <c r="AA154" i="17" s="1"/>
  <c r="AA155" i="17" s="1"/>
  <c r="AA156" i="17" s="1"/>
  <c r="AA157" i="17" s="1"/>
  <c r="AA158" i="17" s="1"/>
  <c r="AA159" i="17" s="1"/>
  <c r="AA160" i="17" s="1"/>
  <c r="AA161" i="17" s="1"/>
  <c r="AA162" i="17" s="1"/>
  <c r="AA163" i="17" s="1"/>
  <c r="AA164" i="17" s="1"/>
  <c r="AA165" i="17" s="1"/>
  <c r="AA166" i="17" s="1"/>
  <c r="AA167" i="17" s="1"/>
  <c r="AA168" i="17" s="1"/>
  <c r="AA169" i="17" s="1"/>
  <c r="AA170" i="17" s="1"/>
  <c r="AA171" i="17" s="1"/>
  <c r="AA172" i="17" s="1"/>
  <c r="AA173" i="17" s="1"/>
  <c r="AA174" i="17" s="1"/>
  <c r="AA175" i="17" s="1"/>
  <c r="AA176" i="17" s="1"/>
  <c r="AA177" i="17" s="1"/>
  <c r="AA178" i="17" s="1"/>
  <c r="AA179" i="17" s="1"/>
  <c r="AA180" i="17" s="1"/>
  <c r="AA181" i="17" s="1"/>
  <c r="AA182" i="17" s="1"/>
  <c r="AA183" i="17" s="1"/>
  <c r="AA184" i="17" s="1"/>
  <c r="AA185" i="17" s="1"/>
  <c r="AA186" i="17" s="1"/>
  <c r="AA187" i="17" s="1"/>
  <c r="AA188" i="17" s="1"/>
  <c r="AA189" i="17" s="1"/>
  <c r="AA190" i="17" s="1"/>
  <c r="AA191" i="17" s="1"/>
  <c r="AA192" i="17" s="1"/>
  <c r="AA193" i="17" s="1"/>
  <c r="AA194" i="17" s="1"/>
  <c r="AA195" i="17" s="1"/>
  <c r="AA196" i="17" s="1"/>
  <c r="AA197" i="17" s="1"/>
  <c r="AA198" i="17" s="1"/>
  <c r="AA199" i="17" s="1"/>
  <c r="AA200" i="17" s="1"/>
  <c r="AA201" i="17" s="1"/>
  <c r="AA202" i="17" s="1"/>
  <c r="AA203" i="17" s="1"/>
  <c r="AA204" i="17" s="1"/>
  <c r="AA205" i="17" s="1"/>
  <c r="AA206" i="17" s="1"/>
  <c r="AA207" i="17" s="1"/>
  <c r="AA208" i="17" s="1"/>
  <c r="AA209" i="17" s="1"/>
  <c r="AA210" i="17" s="1"/>
  <c r="AA211" i="17" s="1"/>
  <c r="AA212" i="17" s="1"/>
  <c r="AA213" i="17" s="1"/>
  <c r="AA214" i="17" s="1"/>
  <c r="AA215" i="17" s="1"/>
  <c r="AA216" i="17" s="1"/>
  <c r="AA217" i="17" s="1"/>
  <c r="AA218" i="17" s="1"/>
  <c r="AA219" i="17" s="1"/>
  <c r="AA220" i="17" s="1"/>
  <c r="AA221" i="17" s="1"/>
  <c r="AA222" i="17" s="1"/>
  <c r="AA223" i="17" s="1"/>
  <c r="AA224" i="17" s="1"/>
  <c r="AA225" i="17" s="1"/>
  <c r="AA226" i="17" s="1"/>
  <c r="AA227" i="17" s="1"/>
  <c r="AA228" i="17" s="1"/>
  <c r="AA229" i="17" s="1"/>
  <c r="AA230" i="17" s="1"/>
  <c r="AA231" i="17" s="1"/>
  <c r="AA232" i="17" s="1"/>
  <c r="AA233" i="17" s="1"/>
  <c r="AA234" i="17" s="1"/>
  <c r="AA235" i="17" s="1"/>
  <c r="AA236" i="17" s="1"/>
  <c r="AA237" i="17" s="1"/>
  <c r="AA238" i="17" s="1"/>
  <c r="AA239" i="17" s="1"/>
  <c r="AA240" i="17" s="1"/>
  <c r="AA241" i="17" s="1"/>
  <c r="AA242" i="17" s="1"/>
  <c r="AA243" i="17" s="1"/>
  <c r="AA244" i="17" s="1"/>
  <c r="AA245" i="17" s="1"/>
  <c r="AA246" i="17" s="1"/>
  <c r="AA247" i="17" s="1"/>
  <c r="AA248" i="17" s="1"/>
  <c r="AA249" i="17" s="1"/>
  <c r="AA250" i="17" s="1"/>
  <c r="AA251" i="17" s="1"/>
  <c r="AA252" i="17" s="1"/>
  <c r="AA253" i="17" s="1"/>
  <c r="AA254" i="17" s="1"/>
  <c r="AA255" i="17" s="1"/>
  <c r="AA256" i="17" s="1"/>
  <c r="AA257" i="17" s="1"/>
  <c r="AA258" i="17" s="1"/>
  <c r="AA259" i="17" s="1"/>
  <c r="AA260" i="17" s="1"/>
  <c r="AA261" i="17" s="1"/>
  <c r="AA262" i="17" s="1"/>
  <c r="AA263" i="17" s="1"/>
  <c r="AA264" i="17" s="1"/>
  <c r="AA265" i="17" s="1"/>
  <c r="AA266" i="17" s="1"/>
  <c r="AA267" i="17" s="1"/>
  <c r="AA268" i="17" s="1"/>
  <c r="AA269" i="17" s="1"/>
  <c r="AA270" i="17" s="1"/>
  <c r="AA271" i="17" s="1"/>
  <c r="AA272" i="17" s="1"/>
  <c r="AA273" i="17" s="1"/>
  <c r="AA274" i="17" s="1"/>
  <c r="AA275" i="17" s="1"/>
  <c r="AA276" i="17" s="1"/>
  <c r="AA277" i="17" s="1"/>
  <c r="AA278" i="17" s="1"/>
  <c r="AA279" i="17" s="1"/>
  <c r="AA280" i="17" s="1"/>
  <c r="AA281" i="17" s="1"/>
  <c r="AA282" i="17" s="1"/>
  <c r="AA283" i="17" s="1"/>
  <c r="AA284" i="17" s="1"/>
  <c r="AA285" i="17" s="1"/>
  <c r="AA286" i="17" s="1"/>
  <c r="AA287" i="17" s="1"/>
  <c r="AA288" i="17" s="1"/>
  <c r="AA289" i="17" s="1"/>
  <c r="AA290" i="17" s="1"/>
  <c r="AA291" i="17" s="1"/>
  <c r="AA292" i="17" s="1"/>
  <c r="AA293" i="17" s="1"/>
  <c r="AA294" i="17" s="1"/>
  <c r="AA295" i="17" s="1"/>
  <c r="AA296" i="17" s="1"/>
  <c r="AA297" i="17" s="1"/>
  <c r="AA298" i="17" s="1"/>
  <c r="AA299" i="17" s="1"/>
  <c r="AA300" i="17" s="1"/>
  <c r="AA301" i="17" s="1"/>
  <c r="AA302" i="17" s="1"/>
  <c r="AA303" i="17" s="1"/>
  <c r="AA304" i="17" s="1"/>
  <c r="AA305" i="17" s="1"/>
  <c r="AA306" i="17" s="1"/>
  <c r="AA307" i="17" s="1"/>
  <c r="AA308" i="17" s="1"/>
  <c r="AA309" i="17" s="1"/>
  <c r="AA310" i="17" s="1"/>
  <c r="AA311" i="17" s="1"/>
  <c r="AA312" i="17" s="1"/>
  <c r="AA313" i="17" s="1"/>
  <c r="AA314" i="17" s="1"/>
  <c r="AA315" i="17" s="1"/>
  <c r="AA316" i="17" s="1"/>
  <c r="AA317" i="17" s="1"/>
  <c r="AA318" i="17" s="1"/>
  <c r="AA319" i="17" s="1"/>
  <c r="AA320" i="17" s="1"/>
  <c r="AA321" i="17" s="1"/>
  <c r="AA322" i="17" s="1"/>
  <c r="AA323" i="17" s="1"/>
  <c r="AA324" i="17" s="1"/>
  <c r="AA325" i="17" s="1"/>
  <c r="AA326" i="17" s="1"/>
  <c r="AA327" i="17" s="1"/>
  <c r="AA328" i="17" s="1"/>
  <c r="AA329" i="17" s="1"/>
  <c r="AA330" i="17" s="1"/>
  <c r="AA331" i="17" s="1"/>
  <c r="AA332" i="17" s="1"/>
  <c r="AA333" i="17" s="1"/>
  <c r="AA334" i="17" s="1"/>
  <c r="AA335" i="17" s="1"/>
  <c r="AA336" i="17" s="1"/>
  <c r="AA337" i="17" s="1"/>
  <c r="AA338" i="17" s="1"/>
  <c r="AA339" i="17" s="1"/>
  <c r="AA340" i="17" s="1"/>
  <c r="AA341" i="17" s="1"/>
  <c r="AA342" i="17" s="1"/>
  <c r="AA343" i="17" s="1"/>
  <c r="AA344" i="17" s="1"/>
  <c r="AA345" i="17" s="1"/>
  <c r="AA346" i="17" s="1"/>
  <c r="AA347" i="17" s="1"/>
  <c r="AA348" i="17" s="1"/>
  <c r="AA349" i="17" s="1"/>
  <c r="AA350" i="17" s="1"/>
  <c r="AA351" i="17" s="1"/>
  <c r="AA352" i="17" s="1"/>
  <c r="AA353" i="17" s="1"/>
  <c r="AA354" i="17" s="1"/>
  <c r="AA355" i="17" s="1"/>
  <c r="AA356" i="17" s="1"/>
  <c r="AA357" i="17" s="1"/>
  <c r="AA358" i="17" s="1"/>
  <c r="AA359" i="17" s="1"/>
  <c r="AA360" i="17" s="1"/>
  <c r="AA361" i="17" s="1"/>
  <c r="AA362" i="17" s="1"/>
  <c r="AA363" i="17" s="1"/>
  <c r="AA364" i="17" s="1"/>
  <c r="AA365" i="17" s="1"/>
  <c r="AA366" i="17" s="1"/>
  <c r="AA367" i="17" s="1"/>
  <c r="AA369" i="17" s="1"/>
  <c r="Z62" i="17"/>
  <c r="Z63" i="17" s="1"/>
  <c r="Z64" i="17" s="1"/>
  <c r="Z65" i="17" s="1"/>
  <c r="Z66" i="17" s="1"/>
  <c r="Z67" i="17" s="1"/>
  <c r="Z68" i="17" s="1"/>
  <c r="Z69" i="17" s="1"/>
  <c r="Z70" i="17" s="1"/>
  <c r="Z71" i="17" s="1"/>
  <c r="Z72" i="17" s="1"/>
  <c r="Z73" i="17" s="1"/>
  <c r="Z74" i="17" s="1"/>
  <c r="Z75" i="17" s="1"/>
  <c r="Z76" i="17" s="1"/>
  <c r="Z77" i="17" s="1"/>
  <c r="Z78" i="17" s="1"/>
  <c r="Z79" i="17" s="1"/>
  <c r="Z80" i="17" s="1"/>
  <c r="Z81" i="17" s="1"/>
  <c r="Z82" i="17" s="1"/>
  <c r="Z83" i="17" s="1"/>
  <c r="Z84" i="17" s="1"/>
  <c r="Z85" i="17" s="1"/>
  <c r="Z86" i="17" s="1"/>
  <c r="Z87" i="17" s="1"/>
  <c r="Z88" i="17" s="1"/>
  <c r="Z89" i="17" s="1"/>
  <c r="Z90" i="17" s="1"/>
  <c r="Z91" i="17" s="1"/>
  <c r="Z92" i="17" s="1"/>
  <c r="Z93" i="17" s="1"/>
  <c r="Z94" i="17" s="1"/>
  <c r="Z95" i="17" s="1"/>
  <c r="Z96" i="17" s="1"/>
  <c r="Z97" i="17" s="1"/>
  <c r="Z98" i="17" s="1"/>
  <c r="Z99" i="17" s="1"/>
  <c r="Z100" i="17" s="1"/>
  <c r="Z101" i="17" s="1"/>
  <c r="Z102" i="17" s="1"/>
  <c r="Z103" i="17" s="1"/>
  <c r="Z104" i="17" s="1"/>
  <c r="Z105" i="17" s="1"/>
  <c r="Z106" i="17" s="1"/>
  <c r="Z107" i="17" s="1"/>
  <c r="Z108" i="17" s="1"/>
  <c r="Z109" i="17" s="1"/>
  <c r="Z110" i="17" s="1"/>
  <c r="Z111" i="17" s="1"/>
  <c r="Z112" i="17" s="1"/>
  <c r="Z113" i="17" s="1"/>
  <c r="Z114" i="17" s="1"/>
  <c r="Z115" i="17" s="1"/>
  <c r="Z116" i="17" s="1"/>
  <c r="Z117" i="17" s="1"/>
  <c r="Z118" i="17" s="1"/>
  <c r="Z119" i="17" s="1"/>
  <c r="Z120" i="17" s="1"/>
  <c r="Z121" i="17" s="1"/>
  <c r="Z122" i="17" s="1"/>
  <c r="Z123" i="17" s="1"/>
  <c r="Z124" i="17" s="1"/>
  <c r="Z125" i="17" s="1"/>
  <c r="Z126" i="17" s="1"/>
  <c r="Z127" i="17" s="1"/>
  <c r="Z128" i="17" s="1"/>
  <c r="Z129" i="17" s="1"/>
  <c r="Z130" i="17" s="1"/>
  <c r="Z131" i="17" s="1"/>
  <c r="Z132" i="17" s="1"/>
  <c r="Z133" i="17" s="1"/>
  <c r="Z134" i="17" s="1"/>
  <c r="Z135" i="17" s="1"/>
  <c r="Z136" i="17" s="1"/>
  <c r="Z137" i="17" s="1"/>
  <c r="Z138" i="17" s="1"/>
  <c r="Z139" i="17" s="1"/>
  <c r="Z140" i="17" s="1"/>
  <c r="Z141" i="17" s="1"/>
  <c r="Z142" i="17" s="1"/>
  <c r="Z143" i="17" s="1"/>
  <c r="Z144" i="17" s="1"/>
  <c r="Z145" i="17" s="1"/>
  <c r="Z146" i="17" s="1"/>
  <c r="Z147" i="17" s="1"/>
  <c r="Z148" i="17" s="1"/>
  <c r="Z149" i="17" s="1"/>
  <c r="Z150" i="17" s="1"/>
  <c r="Z151" i="17" s="1"/>
  <c r="Z152" i="17" s="1"/>
  <c r="Z153" i="17" s="1"/>
  <c r="Z154" i="17" s="1"/>
  <c r="Z155" i="17" s="1"/>
  <c r="Z156" i="17" s="1"/>
  <c r="Z157" i="17" s="1"/>
  <c r="Z158" i="17" s="1"/>
  <c r="Z159" i="17" s="1"/>
  <c r="Z160" i="17" s="1"/>
  <c r="Z161" i="17" s="1"/>
  <c r="Z162" i="17" s="1"/>
  <c r="Z163" i="17" s="1"/>
  <c r="Z164" i="17" s="1"/>
  <c r="Z165" i="17" s="1"/>
  <c r="Z166" i="17" s="1"/>
  <c r="Z167" i="17" s="1"/>
  <c r="Z168" i="17" s="1"/>
  <c r="Z169" i="17" s="1"/>
  <c r="Z170" i="17" s="1"/>
  <c r="Z171" i="17" s="1"/>
  <c r="Z172" i="17" s="1"/>
  <c r="Z173" i="17" s="1"/>
  <c r="Z174" i="17" s="1"/>
  <c r="Z175" i="17" s="1"/>
  <c r="Z176" i="17" s="1"/>
  <c r="Z177" i="17" s="1"/>
  <c r="Z178" i="17" s="1"/>
  <c r="Z179" i="17" s="1"/>
  <c r="Z180" i="17" s="1"/>
  <c r="Z181" i="17" s="1"/>
  <c r="Z182" i="17" s="1"/>
  <c r="Z183" i="17" s="1"/>
  <c r="Z184" i="17" s="1"/>
  <c r="Z185" i="17" s="1"/>
  <c r="Z186" i="17" s="1"/>
  <c r="Z187" i="17" s="1"/>
  <c r="Z188" i="17" s="1"/>
  <c r="Z189" i="17" s="1"/>
  <c r="Z190" i="17" s="1"/>
  <c r="Z191" i="17" s="1"/>
  <c r="Z192" i="17" s="1"/>
  <c r="Z193" i="17" s="1"/>
  <c r="Z194" i="17" s="1"/>
  <c r="Z195" i="17" s="1"/>
  <c r="Z196" i="17" s="1"/>
  <c r="Z197" i="17" s="1"/>
  <c r="Z198" i="17" s="1"/>
  <c r="Z199" i="17" s="1"/>
  <c r="Z200" i="17" s="1"/>
  <c r="Z201" i="17" s="1"/>
  <c r="Z202" i="17" s="1"/>
  <c r="Z203" i="17" s="1"/>
  <c r="Z204" i="17" s="1"/>
  <c r="Z205" i="17" s="1"/>
  <c r="Z206" i="17" s="1"/>
  <c r="Z207" i="17" s="1"/>
  <c r="Z208" i="17" s="1"/>
  <c r="Z209" i="17" s="1"/>
  <c r="Z210" i="17" s="1"/>
  <c r="Z211" i="17" s="1"/>
  <c r="Z212" i="17" s="1"/>
  <c r="Z213" i="17" s="1"/>
  <c r="Z214" i="17" s="1"/>
  <c r="Z215" i="17" s="1"/>
  <c r="Z216" i="17" s="1"/>
  <c r="Z217" i="17" s="1"/>
  <c r="Z218" i="17" s="1"/>
  <c r="Z219" i="17" s="1"/>
  <c r="Z220" i="17" s="1"/>
  <c r="Z221" i="17" s="1"/>
  <c r="Z222" i="17" s="1"/>
  <c r="Z223" i="17" s="1"/>
  <c r="Z224" i="17" s="1"/>
  <c r="Z225" i="17" s="1"/>
  <c r="Z226" i="17" s="1"/>
  <c r="Z227" i="17" s="1"/>
  <c r="Z228" i="17" s="1"/>
  <c r="Z229" i="17" s="1"/>
  <c r="Z230" i="17" s="1"/>
  <c r="Z231" i="17" s="1"/>
  <c r="Z232" i="17" s="1"/>
  <c r="Z233" i="17" s="1"/>
  <c r="Z234" i="17" s="1"/>
  <c r="Z235" i="17" s="1"/>
  <c r="Z236" i="17" s="1"/>
  <c r="Z237" i="17" s="1"/>
  <c r="Z238" i="17" s="1"/>
  <c r="Z239" i="17" s="1"/>
  <c r="Z240" i="17" s="1"/>
  <c r="Z241" i="17" s="1"/>
  <c r="Z242" i="17" s="1"/>
  <c r="Z243" i="17" s="1"/>
  <c r="Z244" i="17" s="1"/>
  <c r="Z245" i="17" s="1"/>
  <c r="Z246" i="17" s="1"/>
  <c r="Z247" i="17" s="1"/>
  <c r="Z248" i="17" s="1"/>
  <c r="Z249" i="17" s="1"/>
  <c r="Z250" i="17" s="1"/>
  <c r="Z251" i="17" s="1"/>
  <c r="Z252" i="17" s="1"/>
  <c r="Z253" i="17" s="1"/>
  <c r="Z254" i="17" s="1"/>
  <c r="Z255" i="17" s="1"/>
  <c r="Z256" i="17" s="1"/>
  <c r="Z257" i="17" s="1"/>
  <c r="Z258" i="17" s="1"/>
  <c r="Z259" i="17" s="1"/>
  <c r="Z260" i="17" s="1"/>
  <c r="Z261" i="17" s="1"/>
  <c r="Z262" i="17" s="1"/>
  <c r="Z263" i="17" s="1"/>
  <c r="Z264" i="17" s="1"/>
  <c r="Z265" i="17" s="1"/>
  <c r="Z266" i="17" s="1"/>
  <c r="Z267" i="17" s="1"/>
  <c r="Z268" i="17" s="1"/>
  <c r="Z269" i="17" s="1"/>
  <c r="Z270" i="17" s="1"/>
  <c r="Z271" i="17" s="1"/>
  <c r="Z272" i="17" s="1"/>
  <c r="Z273" i="17" s="1"/>
  <c r="Z274" i="17" s="1"/>
  <c r="Z275" i="17" s="1"/>
  <c r="Z276" i="17" s="1"/>
  <c r="Z277" i="17" s="1"/>
  <c r="Z278" i="17" s="1"/>
  <c r="Z279" i="17" s="1"/>
  <c r="Z280" i="17" s="1"/>
  <c r="Z281" i="17" s="1"/>
  <c r="Z282" i="17" s="1"/>
  <c r="Z283" i="17" s="1"/>
  <c r="Z284" i="17" s="1"/>
  <c r="Z285" i="17" s="1"/>
  <c r="Z286" i="17" s="1"/>
  <c r="Z287" i="17" s="1"/>
  <c r="Z288" i="17" s="1"/>
  <c r="Z289" i="17" s="1"/>
  <c r="Z290" i="17" s="1"/>
  <c r="Z291" i="17" s="1"/>
  <c r="Z292" i="17" s="1"/>
  <c r="Z293" i="17" s="1"/>
  <c r="Z294" i="17" s="1"/>
  <c r="Z295" i="17" s="1"/>
  <c r="Z296" i="17" s="1"/>
  <c r="Z297" i="17" s="1"/>
  <c r="Z298" i="17" s="1"/>
  <c r="Z299" i="17" s="1"/>
  <c r="Z300" i="17" s="1"/>
  <c r="Z301" i="17" s="1"/>
  <c r="Z302" i="17" s="1"/>
  <c r="Z303" i="17" s="1"/>
  <c r="Z304" i="17" s="1"/>
  <c r="Z305" i="17" s="1"/>
  <c r="Z306" i="17" s="1"/>
  <c r="Z307" i="17" s="1"/>
  <c r="Z308" i="17" s="1"/>
  <c r="Z309" i="17" s="1"/>
  <c r="Z310" i="17" s="1"/>
  <c r="Z311" i="17" s="1"/>
  <c r="Z312" i="17" s="1"/>
  <c r="Z313" i="17" s="1"/>
  <c r="Z314" i="17" s="1"/>
  <c r="Z315" i="17" s="1"/>
  <c r="Z316" i="17" s="1"/>
  <c r="Z317" i="17" s="1"/>
  <c r="Z318" i="17" s="1"/>
  <c r="Z319" i="17" s="1"/>
  <c r="Z320" i="17" s="1"/>
  <c r="Z321" i="17" s="1"/>
  <c r="Z322" i="17" s="1"/>
  <c r="Z323" i="17" s="1"/>
  <c r="Z324" i="17" s="1"/>
  <c r="Z325" i="17" s="1"/>
  <c r="Z326" i="17" s="1"/>
  <c r="Z327" i="17" s="1"/>
  <c r="Z328" i="17" s="1"/>
  <c r="Z329" i="17" s="1"/>
  <c r="Z330" i="17" s="1"/>
  <c r="Z331" i="17" s="1"/>
  <c r="Z332" i="17" s="1"/>
  <c r="Z333" i="17" s="1"/>
  <c r="Z334" i="17" s="1"/>
  <c r="Z335" i="17" s="1"/>
  <c r="Z336" i="17" s="1"/>
  <c r="Z337" i="17" s="1"/>
  <c r="Z338" i="17" s="1"/>
  <c r="Z339" i="17" s="1"/>
  <c r="Z340" i="17" s="1"/>
  <c r="Z341" i="17" s="1"/>
  <c r="Z342" i="17" s="1"/>
  <c r="Z343" i="17" s="1"/>
  <c r="Z344" i="17" s="1"/>
  <c r="Z345" i="17" s="1"/>
  <c r="Z346" i="17" s="1"/>
  <c r="Z347" i="17" s="1"/>
  <c r="Z348" i="17" s="1"/>
  <c r="Z349" i="17" s="1"/>
  <c r="Z350" i="17" s="1"/>
  <c r="Z351" i="17" s="1"/>
  <c r="Z352" i="17" s="1"/>
  <c r="Z353" i="17" s="1"/>
  <c r="Z354" i="17" s="1"/>
  <c r="Z355" i="17" s="1"/>
  <c r="Z356" i="17" s="1"/>
  <c r="Z357" i="17" s="1"/>
  <c r="Z358" i="17" s="1"/>
  <c r="Z359" i="17" s="1"/>
  <c r="Z360" i="17" s="1"/>
  <c r="Z361" i="17" s="1"/>
  <c r="Z362" i="17" s="1"/>
  <c r="Z363" i="17" s="1"/>
  <c r="Z364" i="17" s="1"/>
  <c r="Z365" i="17" s="1"/>
  <c r="Z366" i="17" s="1"/>
  <c r="Z367" i="17" l="1"/>
  <c r="Z369" i="17" s="1"/>
  <c r="S69" i="4"/>
  <c r="U367" i="17"/>
  <c r="U369" i="17" s="1"/>
  <c r="AC367" i="17"/>
  <c r="AC369" i="17" s="1"/>
  <c r="T78" i="4" s="1"/>
  <c r="T69" i="4"/>
  <c r="V367" i="17"/>
  <c r="V369" i="17" s="1"/>
  <c r="AB367" i="17"/>
  <c r="AB369" i="17" s="1"/>
  <c r="AG24" i="17" s="1"/>
  <c r="T229" i="17"/>
  <c r="T230" i="17" s="1"/>
  <c r="AG20" i="17"/>
  <c r="AG23" i="17"/>
  <c r="AG19" i="17"/>
  <c r="AG21" i="17"/>
  <c r="AG22" i="17" l="1"/>
  <c r="AG25" i="17"/>
  <c r="AG18" i="17"/>
  <c r="S70" i="4"/>
  <c r="T70" i="4"/>
  <c r="AG17" i="17"/>
  <c r="T231" i="17"/>
  <c r="T232" i="17" s="1"/>
  <c r="T233" i="17" s="1"/>
  <c r="T234" i="17" s="1"/>
  <c r="T235" i="17" s="1"/>
  <c r="T236" i="17" s="1"/>
  <c r="T237" i="17" s="1"/>
  <c r="T238" i="17" s="1"/>
  <c r="T239" i="17" s="1"/>
  <c r="T240" i="17" s="1"/>
  <c r="T241" i="17" s="1"/>
  <c r="T242" i="17" s="1"/>
  <c r="T243" i="17" s="1"/>
  <c r="T244" i="17" s="1"/>
  <c r="T245" i="17" s="1"/>
  <c r="T246" i="17" s="1"/>
  <c r="T247" i="17" s="1"/>
  <c r="T248" i="17" s="1"/>
  <c r="T249" i="17" s="1"/>
  <c r="T250" i="17" s="1"/>
  <c r="T251" i="17" s="1"/>
  <c r="T252" i="17" s="1"/>
  <c r="T253" i="17" s="1"/>
  <c r="T254" i="17" s="1"/>
  <c r="T255" i="17" s="1"/>
  <c r="T256" i="17" s="1"/>
  <c r="T257" i="17" s="1"/>
  <c r="T258" i="17" s="1"/>
  <c r="T259" i="17" s="1"/>
  <c r="T260" i="17" s="1"/>
  <c r="T261" i="17" s="1"/>
  <c r="T262" i="17" s="1"/>
  <c r="T263" i="17" s="1"/>
  <c r="T264" i="17" s="1"/>
  <c r="T265" i="17" s="1"/>
  <c r="T266" i="17" s="1"/>
  <c r="T267" i="17" s="1"/>
  <c r="T268" i="17" s="1"/>
  <c r="T269" i="17" s="1"/>
  <c r="T270" i="17" s="1"/>
  <c r="T271" i="17" s="1"/>
  <c r="T272" i="17" s="1"/>
  <c r="T273" i="17" s="1"/>
  <c r="T274" i="17" s="1"/>
  <c r="T275" i="17" s="1"/>
  <c r="T276" i="17" s="1"/>
  <c r="T277" i="17" s="1"/>
  <c r="T278" i="17" s="1"/>
  <c r="T279" i="17" s="1"/>
  <c r="T280" i="17" s="1"/>
  <c r="T281" i="17" s="1"/>
  <c r="T282" i="17" s="1"/>
  <c r="T283" i="17" s="1"/>
  <c r="T284" i="17" s="1"/>
  <c r="T285" i="17" s="1"/>
  <c r="T286" i="17" s="1"/>
  <c r="T287" i="17" s="1"/>
  <c r="T288" i="17" s="1"/>
  <c r="T289" i="17" s="1"/>
  <c r="T290" i="17" s="1"/>
  <c r="T291" i="17" s="1"/>
  <c r="T292" i="17" s="1"/>
  <c r="T293" i="17" s="1"/>
  <c r="T294" i="17" s="1"/>
  <c r="T295" i="17" s="1"/>
  <c r="T296" i="17" s="1"/>
  <c r="T297" i="17" s="1"/>
  <c r="T298" i="17" s="1"/>
  <c r="T299" i="17" s="1"/>
  <c r="T300" i="17" s="1"/>
  <c r="T301" i="17" s="1"/>
  <c r="T302" i="17" s="1"/>
  <c r="T303" i="17" s="1"/>
  <c r="T304" i="17" s="1"/>
  <c r="T305" i="17" s="1"/>
  <c r="T306" i="17" s="1"/>
  <c r="T307" i="17" s="1"/>
  <c r="T308" i="17" s="1"/>
  <c r="T309" i="17" s="1"/>
  <c r="T310" i="17" s="1"/>
  <c r="T311" i="17" s="1"/>
  <c r="T312" i="17" s="1"/>
  <c r="T313" i="17" s="1"/>
  <c r="T314" i="17" s="1"/>
  <c r="T315" i="17" s="1"/>
  <c r="T316" i="17" s="1"/>
  <c r="T317" i="17" s="1"/>
  <c r="T318" i="17" s="1"/>
  <c r="T319" i="17" s="1"/>
  <c r="T320" i="17" s="1"/>
  <c r="T321" i="17" s="1"/>
  <c r="T322" i="17" s="1"/>
  <c r="T323" i="17" s="1"/>
  <c r="T324" i="17" s="1"/>
  <c r="T325" i="17" s="1"/>
  <c r="T326" i="17" s="1"/>
  <c r="T327" i="17" s="1"/>
  <c r="T328" i="17" s="1"/>
  <c r="T329" i="17" s="1"/>
  <c r="T330" i="17" s="1"/>
  <c r="T331" i="17" s="1"/>
  <c r="T332" i="17" s="1"/>
  <c r="T333" i="17" s="1"/>
  <c r="T334" i="17" s="1"/>
  <c r="T335" i="17" s="1"/>
  <c r="T336" i="17" s="1"/>
  <c r="T337" i="17" s="1"/>
  <c r="T338" i="17" s="1"/>
  <c r="T339" i="17" s="1"/>
  <c r="T340" i="17" s="1"/>
  <c r="T341" i="17" s="1"/>
  <c r="T342" i="17" s="1"/>
  <c r="T343" i="17" s="1"/>
  <c r="T344" i="17" s="1"/>
  <c r="T345" i="17" s="1"/>
  <c r="T346" i="17" s="1"/>
  <c r="T347" i="17" s="1"/>
  <c r="T348" i="17" s="1"/>
  <c r="T349" i="17" s="1"/>
  <c r="T350" i="17" s="1"/>
  <c r="T351" i="17" s="1"/>
  <c r="T352" i="17" s="1"/>
  <c r="T353" i="17" s="1"/>
  <c r="T354" i="17" s="1"/>
  <c r="T355" i="17" s="1"/>
  <c r="T356" i="17" s="1"/>
  <c r="T357" i="17" s="1"/>
  <c r="T358" i="17" s="1"/>
  <c r="T359" i="17" s="1"/>
  <c r="T360" i="17" s="1"/>
  <c r="T361" i="17" s="1"/>
  <c r="T362" i="17" s="1"/>
  <c r="T363" i="17" s="1"/>
  <c r="T364" i="17" s="1"/>
  <c r="T365" i="17" s="1"/>
  <c r="T366" i="17" s="1"/>
  <c r="T367" i="17" s="1"/>
  <c r="T369" i="17" s="1"/>
  <c r="R69" i="4" l="1"/>
  <c r="R70" i="4" s="1"/>
  <c r="AG16" i="17"/>
</calcChain>
</file>

<file path=xl/sharedStrings.xml><?xml version="1.0" encoding="utf-8"?>
<sst xmlns="http://schemas.openxmlformats.org/spreadsheetml/2006/main" count="1281" uniqueCount="402">
  <si>
    <t>Jan</t>
  </si>
  <si>
    <t>Feb</t>
  </si>
  <si>
    <t>Mar</t>
  </si>
  <si>
    <t>Apr</t>
  </si>
  <si>
    <t>May</t>
  </si>
  <si>
    <t>Jun</t>
  </si>
  <si>
    <t>Jul</t>
  </si>
  <si>
    <t>Aug</t>
  </si>
  <si>
    <t>Sep</t>
  </si>
  <si>
    <t>Oct</t>
  </si>
  <si>
    <t>Nov</t>
  </si>
  <si>
    <t>Dec</t>
  </si>
  <si>
    <t>&lt;- max days to close</t>
  </si>
  <si>
    <t>HBS</t>
  </si>
  <si>
    <t>CHARTER BOAT</t>
  </si>
  <si>
    <t>PRIVATE/RENTAL BOAT</t>
  </si>
  <si>
    <t>CHARTER</t>
  </si>
  <si>
    <t>PRIVATE</t>
  </si>
  <si>
    <t>Sum of LBS HARVEST (A+B1)</t>
  </si>
  <si>
    <t>DATASET</t>
  </si>
  <si>
    <t>MRFSS CHARTER</t>
  </si>
  <si>
    <t>MRFSS PRIVATE</t>
  </si>
  <si>
    <t>TPWD CHARTER</t>
  </si>
  <si>
    <t>TPWD PRIVATE</t>
  </si>
  <si>
    <t>SEASONAL CLOSURE: NUMBER OF DAYS CLOSED</t>
  </si>
  <si>
    <t>ROW</t>
  </si>
  <si>
    <t>CLOSED</t>
  </si>
  <si>
    <t>TOTAL</t>
  </si>
  <si>
    <t>%</t>
  </si>
  <si>
    <t>DISCARDS (LBS)</t>
  </si>
  <si>
    <t>LANDINGS (LBS)</t>
  </si>
  <si>
    <t>DD (LBS)</t>
  </si>
  <si>
    <t>TRIP ELIMINATION</t>
  </si>
  <si>
    <t>No trips eliminated by seasonal closure</t>
  </si>
  <si>
    <t>Targeted trips eliminated by seasonal closure</t>
  </si>
  <si>
    <t>Sum of DISCARDS (B2)</t>
  </si>
  <si>
    <t>MODE</t>
  </si>
  <si>
    <t>FORK LENGTH</t>
  </si>
  <si>
    <t>Recreational ACL:</t>
  </si>
  <si>
    <r>
      <rPr>
        <b/>
        <sz val="14"/>
        <color rgb="FFFFFF00"/>
        <rFont val="Calibri"/>
        <family val="2"/>
        <scheme val="minor"/>
      </rPr>
      <t>1.</t>
    </r>
    <r>
      <rPr>
        <b/>
        <sz val="14"/>
        <color theme="0"/>
        <rFont val="Calibri"/>
        <family val="2"/>
        <scheme val="minor"/>
      </rPr>
      <t xml:space="preserve"> Select seasonal closure:</t>
    </r>
  </si>
  <si>
    <t>LANDINGS</t>
  </si>
  <si>
    <t>%CLOSED</t>
  </si>
  <si>
    <t>HB</t>
  </si>
  <si>
    <t>SIZE LIMIT</t>
  </si>
  <si>
    <t>Month</t>
  </si>
  <si>
    <t>BAG LIMIT</t>
  </si>
  <si>
    <t>PROJECTION RESULTS:</t>
  </si>
  <si>
    <t>MODEL INPUTS:</t>
  </si>
  <si>
    <t>SMOOTHED WAVES 1-2</t>
  </si>
  <si>
    <t>Total</t>
  </si>
  <si>
    <t>Bag Limit</t>
  </si>
  <si>
    <t>All Months</t>
  </si>
  <si>
    <t>TOTAL (#s)</t>
  </si>
  <si>
    <t>all months</t>
  </si>
  <si>
    <t>charter</t>
  </si>
  <si>
    <t>private</t>
  </si>
  <si>
    <t>Private</t>
  </si>
  <si>
    <t>Charter</t>
  </si>
  <si>
    <t>Headboat bag limit results (2009-2011)</t>
  </si>
  <si>
    <t>Private: TPWD + MRFSS (2009-2011)</t>
  </si>
  <si>
    <t>Charter: TPWD + MRFSS (2009-2011)</t>
  </si>
  <si>
    <t>*Percent reduction by numbers of fish (since it is a bag limit)</t>
  </si>
  <si>
    <t>samples</t>
  </si>
  <si>
    <t>undersize</t>
  </si>
  <si>
    <t>undersized</t>
  </si>
  <si>
    <t>2009-2011</t>
  </si>
  <si>
    <t xml:space="preserve">Headboat size limit analysis from years 2009-2011.  </t>
  </si>
  <si>
    <t>#</t>
  </si>
  <si>
    <t>HB (POUNDS; 2009-2011)</t>
  </si>
  <si>
    <t>SAS output</t>
  </si>
  <si>
    <t>MRFSS Charter (2009 to 2011)</t>
  </si>
  <si>
    <t>MRFSS Private (2009 to 2011)</t>
  </si>
  <si>
    <t>TPWD private (2009 - 2010)</t>
  </si>
  <si>
    <t>Convert to Perctage</t>
  </si>
  <si>
    <t>Charter sector</t>
  </si>
  <si>
    <t>Private sector</t>
  </si>
  <si>
    <t>Private (POUNDS; 2009-2011 for MRFSS and 2009-2010 TPWD)</t>
  </si>
  <si>
    <t>Projected ACL Overage:</t>
  </si>
  <si>
    <t>MRFSS Private</t>
  </si>
  <si>
    <t>CUMULATIVE PROJECTED LANDINGS:</t>
  </si>
  <si>
    <t>2009-2010/11</t>
  </si>
  <si>
    <t>Numbers</t>
  </si>
  <si>
    <t xml:space="preserve">Month </t>
  </si>
  <si>
    <t>Landings</t>
  </si>
  <si>
    <t>MRFSS Private (2009 to 2011) and TPWD Private (2009 - 2011)</t>
  </si>
  <si>
    <t>TPWD charter (2009 - 2011)</t>
  </si>
  <si>
    <t>MRFSS Charter (2009 to 2011) and TPWD Charter (2009 - 2011)</t>
  </si>
  <si>
    <t>N Obs</t>
  </si>
  <si>
    <t>Headboat</t>
  </si>
  <si>
    <t>fish</t>
  </si>
  <si>
    <t>month</t>
  </si>
  <si>
    <t>month/# of fish</t>
  </si>
  <si>
    <t>Total Fish</t>
  </si>
  <si>
    <t>Winter (Jan-Mar)</t>
  </si>
  <si>
    <t>April</t>
  </si>
  <si>
    <t>June</t>
  </si>
  <si>
    <t>July</t>
  </si>
  <si>
    <t>Winter (Oct-Dec)</t>
  </si>
  <si>
    <t xml:space="preserve">*samples were pooled in winter and fall to increase sample size.  </t>
  </si>
  <si>
    <t>Winter and Fall were pooled</t>
  </si>
  <si>
    <t>CHARTER (POUNDS; 2009-2011 for MRFSS and 2009-2011 TPWD)</t>
  </si>
  <si>
    <t>Converted to percentage</t>
  </si>
  <si>
    <t>Pooled spring and fall, and pooled March and May since no samples in April</t>
  </si>
  <si>
    <t>Convert to percentage</t>
  </si>
  <si>
    <t>Projected Closure Date:</t>
  </si>
  <si>
    <t>Days in Season:</t>
  </si>
  <si>
    <t>DATE</t>
  </si>
  <si>
    <t>MONTH</t>
  </si>
  <si>
    <t>OPEN</t>
  </si>
  <si>
    <t>Projected</t>
  </si>
  <si>
    <t>DAYS CLOSED</t>
  </si>
  <si>
    <t>DAYS</t>
  </si>
  <si>
    <t>LANDED/DAY</t>
  </si>
  <si>
    <t>Fall (Oct-Dec)</t>
  </si>
  <si>
    <t>4*</t>
  </si>
  <si>
    <t>*APRIL POOLED WITH MAR/MAY</t>
  </si>
  <si>
    <t>jan</t>
  </si>
  <si>
    <t>feb</t>
  </si>
  <si>
    <t>mar</t>
  </si>
  <si>
    <t>apr</t>
  </si>
  <si>
    <t>may</t>
  </si>
  <si>
    <t>jun</t>
  </si>
  <si>
    <t>jul</t>
  </si>
  <si>
    <t>aug</t>
  </si>
  <si>
    <t>sep</t>
  </si>
  <si>
    <t>oct</t>
  </si>
  <si>
    <t>nov</t>
  </si>
  <si>
    <t>dec</t>
  </si>
  <si>
    <t>April*</t>
  </si>
  <si>
    <t>*april pooled due to sample size issues</t>
  </si>
  <si>
    <t>Winter (Sept - Dec)</t>
  </si>
  <si>
    <t>Included Sept in Winter Pool due to sample size issues</t>
  </si>
  <si>
    <t>SEE BL_POOLING</t>
  </si>
  <si>
    <t>HEADBOAT</t>
  </si>
  <si>
    <t>MRFSS charter</t>
  </si>
  <si>
    <t>Texas Charter</t>
  </si>
  <si>
    <t>Texas Private</t>
  </si>
  <si>
    <t>Total % reduction</t>
  </si>
  <si>
    <t>Number</t>
  </si>
  <si>
    <t>Percent</t>
  </si>
  <si>
    <t>VESSEL LIMIT</t>
  </si>
  <si>
    <t>maximum landings for a single year from 2015-2019</t>
  </si>
  <si>
    <t>ACL CLOSURE PROJECTIONS</t>
  </si>
  <si>
    <t>maximum landings for a single year from 2017-2019</t>
  </si>
  <si>
    <t>Upper</t>
  </si>
  <si>
    <t>Lower</t>
  </si>
  <si>
    <t>Alternative 1 (no change):</t>
  </si>
  <si>
    <t>Alternative 3:</t>
  </si>
  <si>
    <t>Species</t>
  </si>
  <si>
    <t>total</t>
  </si>
  <si>
    <t>.</t>
  </si>
  <si>
    <t>&lt;1</t>
  </si>
  <si>
    <t>Variable</t>
  </si>
  <si>
    <t>Label</t>
  </si>
  <si>
    <t>Sum</t>
  </si>
  <si>
    <t>newtrip</t>
  </si>
  <si>
    <t>Landing_Sum</t>
  </si>
  <si>
    <t>Fish per person</t>
  </si>
  <si>
    <t>Analysis Variable</t>
  </si>
  <si>
    <t>: catch_tot</t>
  </si>
  <si>
    <t>bin</t>
  </si>
  <si>
    <t>N</t>
  </si>
  <si>
    <t>MRIP Fish per trip</t>
  </si>
  <si>
    <t>Select number of days each month will be CLOSED:</t>
  </si>
  <si>
    <t>Percent of month CLOSED:</t>
  </si>
  <si>
    <t>&lt;- days CLOSED</t>
  </si>
  <si>
    <t>&lt;- pct of month CLOSED</t>
  </si>
  <si>
    <t>Headboat vessel limit results (2017-2019)</t>
  </si>
  <si>
    <t>Headboat fish per vessel</t>
  </si>
  <si>
    <t>*NO EFFECT</t>
  </si>
  <si>
    <t>HB fish per person           *NO EFFECT</t>
  </si>
  <si>
    <t>Alternatives</t>
  </si>
  <si>
    <t>Upper Daily Catch Rate</t>
  </si>
  <si>
    <t>Lower Daily Catch Rate</t>
  </si>
  <si>
    <t>Daily Catch Rate</t>
  </si>
  <si>
    <t>Upper Landed/Day w Closures</t>
  </si>
  <si>
    <t>Lower Landed/Day w Closures</t>
  </si>
  <si>
    <t>Upper Projected</t>
  </si>
  <si>
    <t>Lower Projected</t>
  </si>
  <si>
    <t>catchlimitNONE</t>
  </si>
  <si>
    <t>catchlimit2</t>
  </si>
  <si>
    <t>catchlimit4</t>
  </si>
  <si>
    <t>Upper 95% Confidence Interval Landings:</t>
  </si>
  <si>
    <t>Lower 95% Confidence Interval Landings:</t>
  </si>
  <si>
    <t>Upper 95%</t>
  </si>
  <si>
    <t>Lower 95%</t>
  </si>
  <si>
    <t>Total Upper 95% Confidence Interval Landings:</t>
  </si>
  <si>
    <t>Total Lower 95% Confidence Interval Landings:</t>
  </si>
  <si>
    <t>Sandbox ACL</t>
  </si>
  <si>
    <t xml:space="preserve"> Alternative 4b (5 year averaged shared reduction)</t>
  </si>
  <si>
    <t xml:space="preserve"> Alternative 4a (3 year averaged shared reduction)</t>
  </si>
  <si>
    <t>-</t>
  </si>
  <si>
    <t>Preferred Alt 2 2027</t>
  </si>
  <si>
    <t>Alt 3
2032</t>
  </si>
  <si>
    <t>Alt 4
2023</t>
  </si>
  <si>
    <t>Alt 4
2027</t>
  </si>
  <si>
    <t>Alt 4
2032</t>
  </si>
  <si>
    <t>Sandbox
ACL</t>
  </si>
  <si>
    <t>Preferred Alt 2 2027 Exceed</t>
  </si>
  <si>
    <t>Alt 3
2023 Exceed</t>
  </si>
  <si>
    <t>Alt 3
2027 Exceed</t>
  </si>
  <si>
    <t>Alt 3
2032 Exceed</t>
  </si>
  <si>
    <t>Alt 4
2023 Exceed</t>
  </si>
  <si>
    <t>Alt 4
2027 Exceed</t>
  </si>
  <si>
    <t>Alt 4
2032 Exceed</t>
  </si>
  <si>
    <t>Sandbox
ACL Exceed</t>
  </si>
  <si>
    <t xml:space="preserve">Alt 2 </t>
  </si>
  <si>
    <t>Alt 3</t>
  </si>
  <si>
    <t>Alt 4</t>
  </si>
  <si>
    <t>Sandbox</t>
  </si>
  <si>
    <t>Release mortality of private sector (SEDAR 71)</t>
  </si>
  <si>
    <t>Preferred Alt 2 ACL (2027)</t>
  </si>
  <si>
    <t>*Lumped all recreational landings (lb gw) into this line for this decision tool to reduce complexity - AMG for SA Gag Amend 53 (2022).</t>
  </si>
  <si>
    <t>&lt;--- THESE HIDDEN CELLS WERE A HOLD OVER FROM ORIGINAL FILE.  I DID NOT ADD THESE DATA</t>
  </si>
  <si>
    <t>**ACL Overage/Underage will highlight yellow if over and remain as white text if there is an underage</t>
  </si>
  <si>
    <t>Sector Re-allocation options</t>
  </si>
  <si>
    <t>Maximum Days in Season with Seasonal Closures:</t>
  </si>
  <si>
    <t>6</t>
  </si>
  <si>
    <t>7-9</t>
  </si>
  <si>
    <t>10+</t>
  </si>
  <si>
    <t>Combined Per Vessel Distribution</t>
  </si>
  <si>
    <t>MRIP 2017-2019</t>
  </si>
  <si>
    <t>Headboat 2017-2019</t>
  </si>
  <si>
    <t xml:space="preserve"> </t>
  </si>
  <si>
    <t>Sandbox ACL*</t>
  </si>
  <si>
    <t xml:space="preserve">Current </t>
  </si>
  <si>
    <t>1 pp/pd</t>
  </si>
  <si>
    <t>Action 5 Alternative</t>
  </si>
  <si>
    <t>Alternative Specs</t>
  </si>
  <si>
    <t>Private Change</t>
  </si>
  <si>
    <t>Charter Change</t>
  </si>
  <si>
    <t>HB Change</t>
  </si>
  <si>
    <t>No Action</t>
  </si>
  <si>
    <t>Alt 2</t>
  </si>
  <si>
    <t>Alt 2a</t>
  </si>
  <si>
    <t>Alt 2b</t>
  </si>
  <si>
    <t>Alt 2c</t>
  </si>
  <si>
    <t>Alt 2 for private sector</t>
  </si>
  <si>
    <t>2 fish per vessel OR 1 bag</t>
  </si>
  <si>
    <t>Alt 2 for charter sector</t>
  </si>
  <si>
    <t>Alt 2 for HB sector</t>
  </si>
  <si>
    <t>Alt 3a</t>
  </si>
  <si>
    <t>Alt 3b</t>
  </si>
  <si>
    <t>Alt 3c</t>
  </si>
  <si>
    <t>Alt 3 for private sector</t>
  </si>
  <si>
    <t>Alt 3 for charter sector</t>
  </si>
  <si>
    <t>Alt 3 for HB sector</t>
  </si>
  <si>
    <t>4 fish per vessel OR 1 bag</t>
  </si>
  <si>
    <t>6 fish per vessel OR 1 bag</t>
  </si>
  <si>
    <t>Alt 4 for private sector</t>
  </si>
  <si>
    <t>Alt 4 for charter sector</t>
  </si>
  <si>
    <t>Alt 4 for HB sector</t>
  </si>
  <si>
    <t>Alt 4a</t>
  </si>
  <si>
    <t>Alt 4b</t>
  </si>
  <si>
    <t>Alt 4c</t>
  </si>
  <si>
    <t>Alt 5</t>
  </si>
  <si>
    <t>6 fish per vessel OR 1 bag THEN 1 bag in 2028+</t>
  </si>
  <si>
    <t>Alt 5 for private sector</t>
  </si>
  <si>
    <t>Alt 5 for charter sector</t>
  </si>
  <si>
    <t>Alt 5 for HB sector</t>
  </si>
  <si>
    <t>MRIP Fish per PRIVATE trip for VL=4</t>
  </si>
  <si>
    <t>MRIP Fish per CHARTER trip for VL=4</t>
  </si>
  <si>
    <t>MRIP Fish per CHARTER trip for VL=2</t>
  </si>
  <si>
    <t>MRIP Fish per PRIVATE trip for VL=2</t>
  </si>
  <si>
    <t>Charter 2017-2019</t>
  </si>
  <si>
    <t>Private 2017-2019</t>
  </si>
  <si>
    <t>PRIVATE MRIP CHTS vessel limit results (2017-2019)</t>
  </si>
  <si>
    <t>Head</t>
  </si>
  <si>
    <t>Private Vessel Limit</t>
  </si>
  <si>
    <t>Charter Vessel Limit</t>
  </si>
  <si>
    <t>HB Vessel Limit</t>
  </si>
  <si>
    <t>Private limit:</t>
  </si>
  <si>
    <t>Charter Limit:</t>
  </si>
  <si>
    <t>HB Limit:</t>
  </si>
  <si>
    <t>1+</t>
  </si>
  <si>
    <t>Combined Per Person Distribution</t>
  </si>
  <si>
    <t>100% &lt;1 per person (MRIP N= 37 | HB N=144)</t>
  </si>
  <si>
    <t>nocatchlimit</t>
  </si>
  <si>
    <t>100% of SA Black Grouper are caught at or below 1 per person</t>
  </si>
  <si>
    <t>Vessel limit</t>
  </si>
  <si>
    <t>For-hire 2017-2019</t>
  </si>
  <si>
    <t>MRIP Fish per trip (Charter = 5 | Private = 7) N=14</t>
  </si>
  <si>
    <t>For-Hire 2017-2019</t>
  </si>
  <si>
    <t>5/CH</t>
  </si>
  <si>
    <t>7/PR</t>
  </si>
  <si>
    <t>For-Hire</t>
  </si>
  <si>
    <t>newpp</t>
  </si>
  <si>
    <t>Fishpp</t>
  </si>
  <si>
    <t>Force NO Capt and Crew</t>
  </si>
  <si>
    <t>UPDATE THIS TO GET THE TOTAL NUMBER OF LANDINGS BY MONTH - 30 V 31 DAYS FOR SOME WAYS TO GET THE MONTH LEVEL LANDINGS</t>
  </si>
  <si>
    <t>Action 6 of Amendment 55: Modify the recreational seasonal closure</t>
  </si>
  <si>
    <t>Arithmatic average of 2020-2022</t>
  </si>
  <si>
    <t>Data from MRIP_FES_rec81_23wv3_25Aug23w2014to2022LACreel.xlsx</t>
  </si>
  <si>
    <t>FROM GAG - DON'T USE RED, UNSURE HOW THIS WAS INCORPORATED</t>
  </si>
  <si>
    <t>Units</t>
  </si>
  <si>
    <t>NEW_MODEN</t>
  </si>
  <si>
    <t>MRIP-FES</t>
  </si>
  <si>
    <t>Hbt</t>
  </si>
  <si>
    <t>Cbt</t>
  </si>
  <si>
    <t>Priv</t>
  </si>
  <si>
    <t>Land_inps</t>
  </si>
  <si>
    <t>alt_pcbf</t>
  </si>
  <si>
    <t>alt_pcvf</t>
  </si>
  <si>
    <t>alt_hbbf</t>
  </si>
  <si>
    <t>alt_hbvf</t>
  </si>
  <si>
    <t>prop_pcbf</t>
  </si>
  <si>
    <t>prop_pcvf</t>
  </si>
  <si>
    <t>prop_hbbf</t>
  </si>
  <si>
    <t>prop_hbvf</t>
  </si>
  <si>
    <t>Bag</t>
  </si>
  <si>
    <t>Private Boat</t>
  </si>
  <si>
    <t>1 fish bag limit</t>
  </si>
  <si>
    <t>2 fish bag limit</t>
  </si>
  <si>
    <t>No Vessel Limit</t>
  </si>
  <si>
    <t>2 fish vessel limit</t>
  </si>
  <si>
    <t>4 fish vessel limit</t>
  </si>
  <si>
    <t>No Limit (3 fish)</t>
  </si>
  <si>
    <t>Action 7a of Amendment 55:</t>
  </si>
  <si>
    <t>Action 7b of Amendment 55:</t>
  </si>
  <si>
    <t>ACTION 5 Sector Allocation Options:</t>
  </si>
  <si>
    <t>Alternative 2 - Split Reduction w/2018-2022 Landings</t>
  </si>
  <si>
    <t xml:space="preserve"> Alternative 3 - Split Reduction Method w/2013-2022 Landings</t>
  </si>
  <si>
    <t>Preferred Total ACL</t>
  </si>
  <si>
    <t>Alt2 ACL</t>
  </si>
  <si>
    <t>Alt3 ACL</t>
  </si>
  <si>
    <t>No Action: No  Complex</t>
  </si>
  <si>
    <t>Split Reduction w/ 2013-2022 Landings</t>
  </si>
  <si>
    <t>Action 5 of Amendment 55: Implement South Atlantic scamp/yellowmouth grouper sector allocations</t>
  </si>
  <si>
    <t>Alternative 1 (no allocation):</t>
  </si>
  <si>
    <t>The scamp / yellowmouth grouper complex does not exist</t>
  </si>
  <si>
    <t>Split reduction method w/ landings from 2013-2022</t>
  </si>
  <si>
    <t>Split Reduction w/ 2018-2022 Landings (preferred)</t>
  </si>
  <si>
    <t>VESSEL-BAG</t>
  </si>
  <si>
    <t xml:space="preserve">CHARTER </t>
  </si>
  <si>
    <t xml:space="preserve">PRIVATE </t>
  </si>
  <si>
    <t>No vessel limit  (3 fish bag)</t>
  </si>
  <si>
    <t>2 per vessel limit (3 fish bag)</t>
  </si>
  <si>
    <t>4 per vessel limit (3 fish bag)</t>
  </si>
  <si>
    <t>Preferred Alt 2 2025</t>
  </si>
  <si>
    <t>Preferred Alt 2 2026</t>
  </si>
  <si>
    <t>Preferred Alt 2 
2028</t>
  </si>
  <si>
    <t>Preferred Alt 2 
2029</t>
  </si>
  <si>
    <t xml:space="preserve"> Annual  Catch Limit Options:</t>
  </si>
  <si>
    <t>Preferred Alternative 2 (ACL=ABC)</t>
  </si>
  <si>
    <t>Action 4 of Amendment 55:</t>
  </si>
  <si>
    <t>Preferred Alt 2 2025 Exceed</t>
  </si>
  <si>
    <t>Preferred Alt 2 2029 Exceed</t>
  </si>
  <si>
    <t>This Decision Tool was created for Amendment 55 to the Fishery Management Plan for the Snapper Grouper Fishery of the South Atlantic Region (Amendment 55).  The tool was created to review seasonal closures, bag limit and vessel limit alternatives using MRIP FES data for South Atlantic scamp / yellowmouth grouper assuming the preferred ACL alternative for the rebuilding period.  The tool incorporates trip level data from 2020 to 2022 to compute percent reductions for selected management actions, and average landings data to represent the catch rates for scamp and yellowmouth goruper.  The tool assumes no landings in months when the fishing season is closed (January through April), but allows users to test allocation, season length, bag limit and vessel limit analyses.</t>
  </si>
  <si>
    <t>Fleet</t>
  </si>
  <si>
    <t>Vessel - 3 fish bag</t>
  </si>
  <si>
    <t>Vessel - 2 fish bag</t>
  </si>
  <si>
    <t>Vessel - 1 fish bag</t>
  </si>
  <si>
    <t xml:space="preserve">Split reduction method w/ landings from 2018-2022 </t>
  </si>
  <si>
    <t>Preferred Alt 2 ACL = ABC</t>
  </si>
  <si>
    <r>
      <t xml:space="preserve">*Enter </t>
    </r>
    <r>
      <rPr>
        <b/>
        <sz val="14"/>
        <color rgb="FFC00000"/>
        <rFont val="Calibri"/>
        <family val="2"/>
        <scheme val="minor"/>
      </rPr>
      <t>ANY</t>
    </r>
    <r>
      <rPr>
        <sz val="14"/>
        <color theme="0"/>
        <rFont val="Calibri"/>
        <family val="2"/>
        <scheme val="minor"/>
      </rPr>
      <t xml:space="preserve"> ACL value into the green box above to determine the projected overage in pounds (purple) and percentage (yellow).  </t>
    </r>
  </si>
  <si>
    <t>Preferred Alt 2 ACL (2025)</t>
  </si>
  <si>
    <t>Preferred Alt 2 ACL (2029)</t>
  </si>
  <si>
    <r>
      <rPr>
        <b/>
        <sz val="16"/>
        <color rgb="FFFFFF00"/>
        <rFont val="Calibri"/>
        <family val="2"/>
        <scheme val="minor"/>
      </rPr>
      <t>ACL % Overage</t>
    </r>
    <r>
      <rPr>
        <b/>
        <sz val="16"/>
        <color theme="0"/>
        <rFont val="Calibri"/>
        <family val="2"/>
        <scheme val="minor"/>
      </rPr>
      <t xml:space="preserve"> / Underage**</t>
    </r>
  </si>
  <si>
    <r>
      <t>ACL % Overage</t>
    </r>
    <r>
      <rPr>
        <b/>
        <sz val="16"/>
        <color theme="0"/>
        <rFont val="Calibri"/>
        <family val="2"/>
        <scheme val="minor"/>
      </rPr>
      <t>/ Underage**:</t>
    </r>
  </si>
  <si>
    <t>SOUTH ATLANTIC SCAMP / YELLOWMOUTH GROUPER RECREATIONAL DECISION TOOL</t>
  </si>
  <si>
    <t>Preferred Alternative 2:</t>
  </si>
  <si>
    <r>
      <t xml:space="preserve">  May to December Fishing Season   </t>
    </r>
    <r>
      <rPr>
        <b/>
        <sz val="14"/>
        <color rgb="FFC00000"/>
        <rFont val="Calibri"/>
        <family val="2"/>
        <scheme val="minor"/>
      </rPr>
      <t xml:space="preserve">  (closed January 1 - April 30)</t>
    </r>
  </si>
  <si>
    <r>
      <t xml:space="preserve">  May to August Fishing Season         </t>
    </r>
    <r>
      <rPr>
        <b/>
        <sz val="14"/>
        <color rgb="FFFF0000"/>
        <rFont val="Calibri"/>
        <family val="2"/>
        <scheme val="minor"/>
      </rPr>
      <t xml:space="preserve"> </t>
    </r>
    <r>
      <rPr>
        <b/>
        <sz val="14"/>
        <color rgb="FFC00000"/>
        <rFont val="Calibri"/>
        <family val="2"/>
        <scheme val="minor"/>
      </rPr>
      <t>(closed January 1 - April 30 &amp; September 1 to December 31)</t>
    </r>
  </si>
  <si>
    <r>
      <t xml:space="preserve">  May to September  Fishing Season </t>
    </r>
    <r>
      <rPr>
        <b/>
        <sz val="14"/>
        <color rgb="FFC00000"/>
        <rFont val="Calibri"/>
        <family val="2"/>
        <scheme val="minor"/>
      </rPr>
      <t xml:space="preserve"> (closed January 1 - April 30 &amp; October 1 to December 31)</t>
    </r>
  </si>
  <si>
    <t>Change the number of days open each month as needed to match the seasonal closure alternative that you are interested in evaluating. The default setting only includes the January to April spawning season</t>
  </si>
  <si>
    <t>2 Fish Bag Limit</t>
  </si>
  <si>
    <t>1 Fish Bag Limit</t>
  </si>
  <si>
    <t>cp2</t>
  </si>
  <si>
    <t xml:space="preserve">Allocation Percentage </t>
  </si>
  <si>
    <t>Commercial</t>
  </si>
  <si>
    <t>Rec</t>
  </si>
  <si>
    <t>Alt2  ACL</t>
  </si>
  <si>
    <t>Alt 3 ACL</t>
  </si>
  <si>
    <t>% REDUC</t>
  </si>
  <si>
    <t xml:space="preserve">2 Fish Vessel Limit </t>
  </si>
  <si>
    <t>4 Fish Vessel Limit</t>
  </si>
  <si>
    <r>
      <rPr>
        <b/>
        <sz val="16"/>
        <color rgb="FFFFFF00"/>
        <rFont val="Calibri"/>
        <family val="2"/>
        <scheme val="minor"/>
      </rPr>
      <t>2.</t>
    </r>
    <r>
      <rPr>
        <b/>
        <sz val="16"/>
        <color rgb="FFFF0000"/>
        <rFont val="Calibri"/>
        <family val="2"/>
        <scheme val="minor"/>
      </rPr>
      <t xml:space="preserve"> </t>
    </r>
    <r>
      <rPr>
        <b/>
        <sz val="16"/>
        <color theme="0"/>
        <rFont val="Calibri"/>
        <family val="2"/>
        <scheme val="minor"/>
      </rPr>
      <t>Select the recreational sector allocation:</t>
    </r>
  </si>
  <si>
    <r>
      <rPr>
        <b/>
        <sz val="16"/>
        <color rgb="FFFFFF00"/>
        <rFont val="Calibri"/>
        <family val="2"/>
        <scheme val="minor"/>
      </rPr>
      <t xml:space="preserve">3. </t>
    </r>
    <r>
      <rPr>
        <b/>
        <sz val="16"/>
        <color theme="0"/>
        <rFont val="Calibri"/>
        <family val="2"/>
        <scheme val="minor"/>
      </rPr>
      <t>Select bag limit:</t>
    </r>
  </si>
  <si>
    <r>
      <rPr>
        <b/>
        <sz val="16"/>
        <color rgb="FFFFFF00"/>
        <rFont val="Calibri"/>
        <family val="2"/>
        <scheme val="minor"/>
      </rPr>
      <t xml:space="preserve">4. </t>
    </r>
    <r>
      <rPr>
        <b/>
        <sz val="16"/>
        <color theme="0"/>
        <rFont val="Calibri"/>
        <family val="2"/>
        <scheme val="minor"/>
      </rPr>
      <t>Select vessel limit:</t>
    </r>
  </si>
  <si>
    <t>Select the bag and vessel combinations you are interested in evaluating. The bag and vessel limits will be additive when combined.</t>
  </si>
  <si>
    <t>The ACL values presented reflect the preferred annual catch limit alternative from Action 4, where the ACL=ABC. As no other ACL values are still being considered, they were excluded from this modeling exercise. ACL values are updated by changing the Allocation drop down menu above.</t>
  </si>
  <si>
    <t>Prep the Model itself to reflect the amendment Actions and Alternatives by updating language.</t>
  </si>
  <si>
    <t>HEADBOATS</t>
  </si>
  <si>
    <t>Update Landings1 Tab by inserting landings data into the cells associated with each fleet, in addition to upper and lower confidence levels</t>
  </si>
  <si>
    <t>Update the ACL Tab, ensuring that all ACL alternatives are represented; CHECK THAT ALL LINKS BETWEEN ACLS AND MODEL PAGE ARE CORRECT</t>
  </si>
  <si>
    <t>Update the Bag_Limit or Vessel_Limits to reflect the percent reductions associated with each Action / Alternative being evaluated</t>
  </si>
  <si>
    <t>Update the Inputs Tab to ensure that the Bag and Vessel Limits are linked properly to the drop down lists in the Model Tab and to the correct cells in the Bag_Limits or Vessel_Limits Tab</t>
  </si>
  <si>
    <t>Verify that the model is correctly incorporating the bag / vessel limit reductions associated with the alternatives</t>
  </si>
  <si>
    <t>Verify the Daily tab is linking appropriately to run all necessary ACL options. Ensure that the projected closure dates and season length values are tabulating correctly</t>
  </si>
  <si>
    <t>Review the model to confirm it is pulling data correctly from all red steps. Update and reorganize notes, instructions and language to fit the needs of the amendment.</t>
  </si>
  <si>
    <t>Right click on every tab that feeds into the model and select Hide so that those tabs are not visible.  Then right select the model tab and set this sheet to protected with 'dogfood' as the password.  Under file for the document, also select the Protect Workbook option and select "Protect Workbook Structure" so that anyone using the workbook cannot alter the model.</t>
  </si>
  <si>
    <t>Decision Tools Update Instructions</t>
  </si>
  <si>
    <t>Update the Series Names in the figure on the Model Tab to match the ACL options you want to display</t>
  </si>
  <si>
    <t>Private Bag Limit</t>
  </si>
  <si>
    <t>Charte Bag Limit</t>
  </si>
  <si>
    <t>HB Bag Limit</t>
  </si>
  <si>
    <t>No Bag Limit (complex does not exist)</t>
  </si>
  <si>
    <t>The recreational bag limit is 3 scamp or 3 yellowmouth grouper per person per day within the 3-grouper aggregate.</t>
  </si>
  <si>
    <t>There is currently no vessel limit for scamp and yellowmouth grouper.</t>
  </si>
  <si>
    <r>
      <rPr>
        <i/>
        <sz val="15"/>
        <color theme="0"/>
        <rFont val="Calibri"/>
        <family val="2"/>
        <scheme val="minor"/>
      </rPr>
      <t xml:space="preserve">Note: </t>
    </r>
    <r>
      <rPr>
        <sz val="15"/>
        <color theme="0"/>
        <rFont val="Calibri"/>
        <family val="2"/>
        <scheme val="minor"/>
      </rPr>
      <t>This model is intended to estimate needed reductions in harvest for future fishing seasons. This model does not account for effort shifting that may take place during a seasonal closure, nor does it consider any changes in the average size of scamp / yellowmouth grouper. As such, management reductions presented in these tables may overestimate future reductions in harvest.</t>
    </r>
  </si>
  <si>
    <t>Projected Recreational Landings (lb ww):</t>
  </si>
  <si>
    <t>Total Projected Recreational Landings (lb ww):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</si>
</sst>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_);_(* \(#,##0\);_(* &quot;-&quot;??_);_(@_)"/>
    <numFmt numFmtId="165" formatCode="0.000"/>
    <numFmt numFmtId="166" formatCode="0.0"/>
    <numFmt numFmtId="167" formatCode="m/d;@"/>
    <numFmt numFmtId="168" formatCode="m/d/yy;@"/>
    <numFmt numFmtId="169" formatCode="_(* #,##0.0000_);_(* \(#,##0.0000\);_(* &quot;-&quot;??_);_(@_)"/>
    <numFmt numFmtId="170" formatCode="0.0000%"/>
    <numFmt numFmtId="171" formatCode="0.0%"/>
  </numFmts>
  <fonts count="8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4"/>
      <color theme="0"/>
      <name val="Calibri"/>
      <family val="2"/>
      <scheme val="minor"/>
    </font>
    <font>
      <b/>
      <sz val="10"/>
      <color indexed="9"/>
      <name val="Arial"/>
      <family val="2"/>
    </font>
    <font>
      <b/>
      <sz val="20"/>
      <color rgb="FF99FF99"/>
      <name val="Calibri"/>
      <family val="2"/>
      <scheme val="minor"/>
    </font>
    <font>
      <sz val="14"/>
      <name val="Calibri"/>
      <family val="2"/>
      <scheme val="minor"/>
    </font>
    <font>
      <b/>
      <sz val="10"/>
      <color rgb="FFFFFF00"/>
      <name val="Calibri"/>
      <family val="2"/>
      <scheme val="minor"/>
    </font>
    <font>
      <sz val="14"/>
      <color rgb="FFFFFFFF"/>
      <name val="Calibri"/>
      <family val="2"/>
      <scheme val="minor"/>
    </font>
    <font>
      <sz val="14"/>
      <color rgb="FFFF0000"/>
      <name val="Calibri"/>
      <family val="2"/>
      <scheme val="minor"/>
    </font>
    <font>
      <b/>
      <sz val="14"/>
      <color theme="0"/>
      <name val="Calibri"/>
      <family val="2"/>
      <scheme val="minor"/>
    </font>
    <font>
      <b/>
      <sz val="14"/>
      <color theme="1"/>
      <name val="Calibri"/>
      <family val="2"/>
      <scheme val="minor"/>
    </font>
    <font>
      <sz val="14"/>
      <color rgb="FF66FFFF"/>
      <name val="Calibri"/>
      <family val="2"/>
      <scheme val="minor"/>
    </font>
    <font>
      <sz val="14"/>
      <color rgb="FF003366"/>
      <name val="Calibri"/>
      <family val="2"/>
      <scheme val="minor"/>
    </font>
    <font>
      <b/>
      <sz val="14"/>
      <name val="Calibri"/>
      <family val="2"/>
      <scheme val="minor"/>
    </font>
    <font>
      <i/>
      <sz val="11"/>
      <color theme="1"/>
      <name val="Calibri"/>
      <family val="2"/>
      <scheme val="minor"/>
    </font>
    <font>
      <sz val="10"/>
      <color theme="1"/>
      <name val="Calibri"/>
      <family val="2"/>
      <scheme val="minor"/>
    </font>
    <font>
      <b/>
      <u/>
      <sz val="11"/>
      <color theme="1"/>
      <name val="Calibri"/>
      <family val="2"/>
      <scheme val="minor"/>
    </font>
    <font>
      <b/>
      <sz val="14"/>
      <color rgb="FFFFC000"/>
      <name val="Calibri"/>
      <family val="2"/>
      <scheme val="minor"/>
    </font>
    <font>
      <b/>
      <sz val="14"/>
      <color rgb="FFFFFF00"/>
      <name val="Calibri"/>
      <family val="2"/>
      <scheme val="minor"/>
    </font>
    <font>
      <b/>
      <sz val="14"/>
      <color rgb="FFFF0000"/>
      <name val="Calibri"/>
      <family val="2"/>
      <scheme val="minor"/>
    </font>
    <font>
      <b/>
      <sz val="14"/>
      <color rgb="FF003366"/>
      <name val="Calibri"/>
      <family val="2"/>
      <scheme val="minor"/>
    </font>
    <font>
      <b/>
      <sz val="14"/>
      <color rgb="FF002060"/>
      <name val="Calibri"/>
      <family val="2"/>
      <scheme val="minor"/>
    </font>
    <font>
      <b/>
      <sz val="12"/>
      <color theme="1"/>
      <name val="Calibri"/>
      <family val="2"/>
      <scheme val="minor"/>
    </font>
    <font>
      <i/>
      <sz val="8"/>
      <color theme="1"/>
      <name val="Calibri"/>
      <family val="2"/>
      <scheme val="minor"/>
    </font>
    <font>
      <i/>
      <sz val="10"/>
      <color theme="1"/>
      <name val="Calibri"/>
      <family val="2"/>
      <scheme val="minor"/>
    </font>
    <font>
      <sz val="11"/>
      <color theme="7" tint="-0.249977111117893"/>
      <name val="Calibri"/>
      <family val="2"/>
      <scheme val="minor"/>
    </font>
    <font>
      <sz val="12"/>
      <color theme="1"/>
      <name val="Calibri"/>
      <family val="2"/>
      <scheme val="minor"/>
    </font>
    <font>
      <sz val="12"/>
      <color theme="1"/>
      <name val="Times New Roman"/>
      <family val="1"/>
    </font>
    <font>
      <sz val="14"/>
      <color theme="1"/>
      <name val="Calibri"/>
      <family val="2"/>
      <scheme val="minor"/>
    </font>
    <font>
      <b/>
      <sz val="16"/>
      <color theme="0"/>
      <name val="Calibri"/>
      <family val="2"/>
      <scheme val="minor"/>
    </font>
    <font>
      <sz val="11"/>
      <color rgb="FF9C0006"/>
      <name val="Calibri"/>
      <family val="2"/>
      <scheme val="minor"/>
    </font>
    <font>
      <sz val="11"/>
      <name val="Calibri"/>
      <family val="2"/>
      <scheme val="minor"/>
    </font>
    <font>
      <b/>
      <sz val="11"/>
      <color theme="5"/>
      <name val="Calibri"/>
      <family val="2"/>
      <scheme val="minor"/>
    </font>
    <font>
      <b/>
      <sz val="12"/>
      <color theme="1"/>
      <name val="Times New Roman"/>
      <family val="1"/>
    </font>
    <font>
      <b/>
      <i/>
      <sz val="11"/>
      <color theme="2" tint="-0.249977111117893"/>
      <name val="Calibri"/>
      <family val="2"/>
      <scheme val="minor"/>
    </font>
    <font>
      <b/>
      <i/>
      <sz val="14"/>
      <color rgb="FFFFFF00"/>
      <name val="Calibri"/>
      <family val="2"/>
      <scheme val="minor"/>
    </font>
    <font>
      <b/>
      <i/>
      <sz val="14"/>
      <color theme="0"/>
      <name val="Calibri"/>
      <family val="2"/>
      <scheme val="minor"/>
    </font>
    <font>
      <sz val="10"/>
      <color rgb="FF000000"/>
      <name val="Arial"/>
      <family val="2"/>
    </font>
    <font>
      <b/>
      <sz val="10"/>
      <color rgb="FF112277"/>
      <name val="Arial"/>
      <family val="2"/>
    </font>
    <font>
      <sz val="11"/>
      <color rgb="FF000000"/>
      <name val="Arial"/>
      <family val="2"/>
    </font>
    <font>
      <sz val="10"/>
      <color theme="1"/>
      <name val="Arial"/>
      <family val="2"/>
    </font>
    <font>
      <sz val="11"/>
      <color rgb="FFFF0000"/>
      <name val="Calibri"/>
      <family val="2"/>
      <scheme val="minor"/>
    </font>
    <font>
      <sz val="16"/>
      <color theme="0"/>
      <name val="Calibri"/>
      <family val="2"/>
      <scheme val="minor"/>
    </font>
    <font>
      <b/>
      <sz val="20"/>
      <color theme="0"/>
      <name val="Calibri"/>
      <family val="2"/>
      <scheme val="minor"/>
    </font>
    <font>
      <b/>
      <sz val="11"/>
      <color rgb="FF66FFFF"/>
      <name val="Calibri"/>
      <family val="2"/>
      <scheme val="minor"/>
    </font>
    <font>
      <b/>
      <sz val="14"/>
      <color rgb="FF66FFFF"/>
      <name val="Calibri"/>
      <family val="2"/>
      <scheme val="minor"/>
    </font>
    <font>
      <b/>
      <sz val="11"/>
      <color theme="2" tint="-0.249977111117893"/>
      <name val="Calibri"/>
      <family val="2"/>
      <scheme val="minor"/>
    </font>
    <font>
      <b/>
      <i/>
      <sz val="12"/>
      <color rgb="FFFFFF00"/>
      <name val="Calibri"/>
      <family val="2"/>
      <scheme val="minor"/>
    </font>
    <font>
      <b/>
      <sz val="16"/>
      <name val="Calibri"/>
      <family val="2"/>
      <scheme val="minor"/>
    </font>
    <font>
      <b/>
      <sz val="18"/>
      <color theme="0"/>
      <name val="Calibri"/>
      <family val="2"/>
      <scheme val="minor"/>
    </font>
    <font>
      <b/>
      <i/>
      <sz val="11"/>
      <color rgb="FFFFFF00"/>
      <name val="Calibri"/>
      <family val="2"/>
      <scheme val="minor"/>
    </font>
    <font>
      <b/>
      <sz val="13"/>
      <color theme="0"/>
      <name val="Calibri"/>
      <family val="2"/>
      <scheme val="minor"/>
    </font>
    <font>
      <b/>
      <sz val="7"/>
      <color rgb="FFFFFFFF"/>
      <name val="Segoe UI"/>
      <family val="2"/>
    </font>
    <font>
      <sz val="7"/>
      <color rgb="FFFFFFFF"/>
      <name val="Segoe UI"/>
      <family val="2"/>
    </font>
    <font>
      <sz val="7"/>
      <color theme="1"/>
      <name val="Segoe UI"/>
      <family val="2"/>
    </font>
    <font>
      <b/>
      <sz val="18"/>
      <color rgb="FFFF0000"/>
      <name val="Calibri"/>
      <family val="2"/>
      <scheme val="minor"/>
    </font>
    <font>
      <sz val="20"/>
      <color theme="1"/>
      <name val="Calibri"/>
      <family val="2"/>
      <scheme val="minor"/>
    </font>
    <font>
      <b/>
      <sz val="20"/>
      <color rgb="FFFFFF00"/>
      <name val="Calibri"/>
      <family val="2"/>
      <scheme val="minor"/>
    </font>
    <font>
      <b/>
      <sz val="20"/>
      <color rgb="FFFFC000"/>
      <name val="Calibri"/>
      <family val="2"/>
      <scheme val="minor"/>
    </font>
    <font>
      <sz val="22"/>
      <color theme="1"/>
      <name val="Calibri"/>
      <family val="2"/>
      <scheme val="minor"/>
    </font>
    <font>
      <b/>
      <u/>
      <sz val="22"/>
      <color theme="0"/>
      <name val="Calibri"/>
      <family val="2"/>
      <scheme val="minor"/>
    </font>
    <font>
      <b/>
      <sz val="22"/>
      <color theme="0"/>
      <name val="Calibri"/>
      <family val="2"/>
      <scheme val="minor"/>
    </font>
    <font>
      <b/>
      <sz val="22"/>
      <color rgb="FFFFFF00"/>
      <name val="Calibri"/>
      <family val="2"/>
      <scheme val="minor"/>
    </font>
    <font>
      <b/>
      <sz val="22"/>
      <color rgb="FFFFC000"/>
      <name val="Calibri"/>
      <family val="2"/>
      <scheme val="minor"/>
    </font>
    <font>
      <b/>
      <u/>
      <sz val="24"/>
      <color rgb="FFFFFF00"/>
      <name val="Calibri"/>
      <family val="2"/>
      <scheme val="minor"/>
    </font>
    <font>
      <b/>
      <sz val="16"/>
      <color theme="3" tint="-0.499984740745262"/>
      <name val="Calibri"/>
      <family val="2"/>
      <scheme val="minor"/>
    </font>
    <font>
      <b/>
      <sz val="12"/>
      <color theme="3" tint="-0.499984740745262"/>
      <name val="Calibri"/>
      <family val="2"/>
      <scheme val="minor"/>
    </font>
    <font>
      <b/>
      <sz val="16"/>
      <color theme="7" tint="-0.499984740745262"/>
      <name val="Calibri"/>
      <family val="2"/>
      <scheme val="minor"/>
    </font>
    <font>
      <b/>
      <sz val="12"/>
      <color theme="7" tint="-0.499984740745262"/>
      <name val="Calibri"/>
      <family val="2"/>
      <scheme val="minor"/>
    </font>
    <font>
      <b/>
      <sz val="14"/>
      <color theme="3" tint="-0.499984740745262"/>
      <name val="Calibri"/>
      <family val="2"/>
      <scheme val="minor"/>
    </font>
    <font>
      <b/>
      <i/>
      <u/>
      <sz val="14"/>
      <color theme="3" tint="-0.499984740745262"/>
      <name val="Calibri"/>
      <family val="2"/>
      <scheme val="minor"/>
    </font>
    <font>
      <b/>
      <sz val="14"/>
      <color rgb="FFC00000"/>
      <name val="Calibri"/>
      <family val="2"/>
      <scheme val="minor"/>
    </font>
    <font>
      <b/>
      <sz val="16"/>
      <color rgb="FFFFFF00"/>
      <name val="Calibri"/>
      <family val="2"/>
      <scheme val="minor"/>
    </font>
    <font>
      <b/>
      <u/>
      <sz val="16"/>
      <color theme="0"/>
      <name val="Calibri"/>
      <family val="2"/>
      <scheme val="minor"/>
    </font>
    <font>
      <b/>
      <i/>
      <u/>
      <sz val="18"/>
      <color theme="7" tint="-0.499984740745262"/>
      <name val="Calibri"/>
      <family val="2"/>
      <scheme val="minor"/>
    </font>
    <font>
      <b/>
      <i/>
      <sz val="18"/>
      <color theme="3" tint="-0.499984740745262"/>
      <name val="Calibri"/>
      <family val="2"/>
      <scheme val="minor"/>
    </font>
    <font>
      <b/>
      <sz val="18"/>
      <color theme="3" tint="-0.499984740745262"/>
      <name val="Calibri"/>
      <family val="2"/>
      <scheme val="minor"/>
    </font>
    <font>
      <b/>
      <u/>
      <sz val="18"/>
      <color theme="7" tint="-0.499984740745262"/>
      <name val="Calibri"/>
      <family val="2"/>
      <scheme val="minor"/>
    </font>
    <font>
      <u/>
      <sz val="18"/>
      <color theme="0"/>
      <name val="Calibri"/>
      <family val="2"/>
      <scheme val="minor"/>
    </font>
    <font>
      <b/>
      <sz val="12"/>
      <color rgb="FFFFFF00"/>
      <name val="Calibri"/>
      <family val="2"/>
      <scheme val="minor"/>
    </font>
    <font>
      <b/>
      <sz val="16"/>
      <color rgb="FFFF0000"/>
      <name val="Calibri"/>
      <family val="2"/>
      <scheme val="minor"/>
    </font>
    <font>
      <b/>
      <sz val="16"/>
      <color rgb="FF66FFFF"/>
      <name val="Calibri"/>
      <family val="2"/>
      <scheme val="minor"/>
    </font>
    <font>
      <b/>
      <sz val="11"/>
      <color rgb="FFFFFF00"/>
      <name val="Calibri"/>
      <family val="2"/>
      <scheme val="minor"/>
    </font>
    <font>
      <sz val="15"/>
      <color theme="0"/>
      <name val="Calibri"/>
      <family val="2"/>
      <scheme val="minor"/>
    </font>
    <font>
      <i/>
      <sz val="15"/>
      <color theme="0"/>
      <name val="Calibri"/>
      <family val="2"/>
      <scheme val="minor"/>
    </font>
  </fonts>
  <fills count="3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3366"/>
        <bgColor indexed="64"/>
      </patternFill>
    </fill>
    <fill>
      <patternFill patternType="solid">
        <fgColor theme="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tint="0.39994506668294322"/>
        <bgColor indexed="64"/>
      </patternFill>
    </fill>
    <fill>
      <patternFill patternType="solid">
        <fgColor theme="8"/>
        <bgColor indexed="64"/>
      </patternFill>
    </fill>
    <fill>
      <patternFill patternType="solid">
        <fgColor rgb="FFFFC7CE"/>
      </patternFill>
    </fill>
    <fill>
      <patternFill patternType="solid">
        <fgColor rgb="FFEDF2F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4E5C68"/>
        <bgColor indexed="64"/>
      </patternFill>
    </fill>
  </fills>
  <borders count="1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style="thin">
        <color auto="1"/>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theme="0"/>
      </top>
      <bottom style="medium">
        <color theme="0"/>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style="medium">
        <color theme="0"/>
      </top>
      <bottom style="medium">
        <color theme="0"/>
      </bottom>
      <diagonal/>
    </border>
    <border>
      <left/>
      <right style="thick">
        <color theme="1"/>
      </right>
      <top style="medium">
        <color theme="0"/>
      </top>
      <bottom style="medium">
        <color theme="0"/>
      </bottom>
      <diagonal/>
    </border>
    <border>
      <left style="thick">
        <color auto="1"/>
      </left>
      <right style="thin">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ck">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ck">
        <color auto="1"/>
      </right>
      <top style="medium">
        <color indexed="64"/>
      </top>
      <bottom style="thin">
        <color auto="1"/>
      </bottom>
      <diagonal/>
    </border>
    <border>
      <left style="medium">
        <color indexed="64"/>
      </left>
      <right style="thick">
        <color auto="1"/>
      </right>
      <top style="thin">
        <color indexed="64"/>
      </top>
      <bottom style="thin">
        <color auto="1"/>
      </bottom>
      <diagonal/>
    </border>
    <border>
      <left style="thick">
        <color auto="1"/>
      </left>
      <right style="thin">
        <color auto="1"/>
      </right>
      <top/>
      <bottom style="thin">
        <color auto="1"/>
      </bottom>
      <diagonal/>
    </border>
    <border>
      <left style="thick">
        <color indexed="64"/>
      </left>
      <right/>
      <top/>
      <bottom/>
      <diagonal/>
    </border>
    <border>
      <left/>
      <right style="thick">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theme="1"/>
      </left>
      <right/>
      <top style="thick">
        <color theme="0"/>
      </top>
      <bottom style="thick">
        <color theme="0"/>
      </bottom>
      <diagonal/>
    </border>
    <border>
      <left/>
      <right/>
      <top style="thick">
        <color theme="0"/>
      </top>
      <bottom style="thick">
        <color theme="0"/>
      </bottom>
      <diagonal/>
    </border>
    <border>
      <left/>
      <right style="thick">
        <color theme="1"/>
      </right>
      <top style="thick">
        <color theme="0"/>
      </top>
      <bottom style="thick">
        <color theme="0"/>
      </bottom>
      <diagonal/>
    </border>
    <border>
      <left/>
      <right style="medium">
        <color rgb="FFB0B7BB"/>
      </right>
      <top/>
      <bottom style="medium">
        <color rgb="FFB0B7BB"/>
      </bottom>
      <diagonal/>
    </border>
    <border>
      <left/>
      <right/>
      <top/>
      <bottom style="medium">
        <color rgb="FFB0B7BB"/>
      </bottom>
      <diagonal/>
    </border>
    <border>
      <left style="medium">
        <color rgb="FFC1C1C1"/>
      </left>
      <right/>
      <top style="medium">
        <color rgb="FFC1C1C1"/>
      </top>
      <bottom style="medium">
        <color rgb="FFB0B7BB"/>
      </bottom>
      <diagonal/>
    </border>
    <border>
      <left/>
      <right style="medium">
        <color rgb="FFB0B7BB"/>
      </right>
      <top style="medium">
        <color rgb="FFC1C1C1"/>
      </top>
      <bottom style="medium">
        <color rgb="FFB0B7BB"/>
      </bottom>
      <diagonal/>
    </border>
    <border>
      <left/>
      <right/>
      <top style="medium">
        <color rgb="FFC1C1C1"/>
      </top>
      <bottom style="medium">
        <color rgb="FFB0B7BB"/>
      </bottom>
      <diagonal/>
    </border>
    <border>
      <left style="medium">
        <color rgb="FFC1C1C1"/>
      </left>
      <right style="medium">
        <color rgb="FFB0B7BB"/>
      </right>
      <top/>
      <bottom style="medium">
        <color rgb="FFB0B7BB"/>
      </bottom>
      <diagonal/>
    </border>
    <border>
      <left style="medium">
        <color rgb="FFC1C1C1"/>
      </left>
      <right style="medium">
        <color rgb="FFB0B7BB"/>
      </right>
      <top/>
      <bottom/>
      <diagonal/>
    </border>
    <border>
      <left/>
      <right style="medium">
        <color rgb="FFB0B7BB"/>
      </right>
      <top/>
      <bottom/>
      <diagonal/>
    </border>
    <border>
      <left/>
      <right style="medium">
        <color rgb="FFC1C1C1"/>
      </right>
      <top/>
      <bottom style="medium">
        <color rgb="FFC1C1C1"/>
      </bottom>
      <diagonal/>
    </border>
    <border>
      <left style="medium">
        <color rgb="FFC1C1C1"/>
      </left>
      <right style="medium">
        <color rgb="FFB0B7BB"/>
      </right>
      <top style="medium">
        <color rgb="FFC1C1C1"/>
      </top>
      <bottom style="medium">
        <color rgb="FFB0B7BB"/>
      </bottom>
      <diagonal/>
    </border>
    <border>
      <left style="medium">
        <color rgb="FFC1C1C1"/>
      </left>
      <right style="medium">
        <color rgb="FFC1C1C1"/>
      </right>
      <top/>
      <bottom style="medium">
        <color rgb="FFC1C1C1"/>
      </bottom>
      <diagonal/>
    </border>
    <border>
      <left/>
      <right/>
      <top/>
      <bottom style="medium">
        <color rgb="FFC1C1C1"/>
      </bottom>
      <diagonal/>
    </border>
    <border>
      <left style="medium">
        <color rgb="FFC1C1C1"/>
      </left>
      <right style="medium">
        <color rgb="FFC1C1C1"/>
      </right>
      <top/>
      <bottom/>
      <diagonal/>
    </border>
    <border>
      <left/>
      <right style="medium">
        <color rgb="FFC1C1C1"/>
      </right>
      <top/>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style="medium">
        <color rgb="FFB0B7BB"/>
      </bottom>
      <diagonal/>
    </border>
    <border>
      <left/>
      <right style="medium">
        <color indexed="64"/>
      </right>
      <top/>
      <bottom style="medium">
        <color indexed="64"/>
      </bottom>
      <diagonal/>
    </border>
    <border>
      <left style="medium">
        <color rgb="FFC1C1C1"/>
      </left>
      <right style="medium">
        <color rgb="FFB0B7BB"/>
      </right>
      <top style="medium">
        <color rgb="FFB0B7BB"/>
      </top>
      <bottom/>
      <diagonal/>
    </border>
    <border>
      <left style="medium">
        <color rgb="FFB0B7BB"/>
      </left>
      <right style="medium">
        <color rgb="FFB0B7BB"/>
      </right>
      <top style="medium">
        <color rgb="FFB0B7BB"/>
      </top>
      <bottom/>
      <diagonal/>
    </border>
    <border>
      <left style="medium">
        <color rgb="FFB0B7BB"/>
      </left>
      <right style="medium">
        <color rgb="FFB0B7BB"/>
      </right>
      <top/>
      <bottom/>
      <diagonal/>
    </border>
    <border>
      <left style="medium">
        <color rgb="FFB0B7BB"/>
      </left>
      <right style="medium">
        <color rgb="FFB0B7BB"/>
      </right>
      <top/>
      <bottom style="medium">
        <color rgb="FFB0B7BB"/>
      </bottom>
      <diagonal/>
    </border>
    <border>
      <left/>
      <right style="medium">
        <color rgb="FF0C1F30"/>
      </right>
      <top/>
      <bottom style="medium">
        <color rgb="FF0C1F30"/>
      </bottom>
      <diagonal/>
    </border>
    <border>
      <left/>
      <right style="medium">
        <color rgb="FF0C1F30"/>
      </right>
      <top/>
      <bottom/>
      <diagonal/>
    </border>
    <border>
      <left style="medium">
        <color rgb="FF0C1F30"/>
      </left>
      <right style="medium">
        <color rgb="FF0C1F30"/>
      </right>
      <top/>
      <bottom/>
      <diagonal/>
    </border>
    <border>
      <left style="medium">
        <color rgb="FF0C1F30"/>
      </left>
      <right style="medium">
        <color rgb="FF0C1F30"/>
      </right>
      <top/>
      <bottom style="medium">
        <color rgb="FF0C1F30"/>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bottom style="thick">
        <color theme="0"/>
      </bottom>
      <diagonal/>
    </border>
    <border>
      <left/>
      <right/>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32" fillId="24" borderId="0" applyNumberFormat="0" applyBorder="0" applyAlignment="0" applyProtection="0"/>
  </cellStyleXfs>
  <cellXfs count="619">
    <xf numFmtId="0" fontId="0" fillId="0" borderId="0" xfId="0"/>
    <xf numFmtId="0" fontId="4" fillId="2" borderId="0" xfId="0" applyFont="1" applyFill="1" applyProtection="1">
      <protection hidden="1"/>
    </xf>
    <xf numFmtId="0" fontId="5" fillId="2" borderId="0" xfId="0" applyFont="1" applyFill="1" applyAlignment="1" applyProtection="1">
      <alignment horizontal="center"/>
      <protection hidden="1"/>
    </xf>
    <xf numFmtId="0" fontId="7" fillId="2" borderId="0" xfId="0" applyFont="1" applyFill="1" applyProtection="1">
      <protection hidden="1"/>
    </xf>
    <xf numFmtId="0" fontId="9" fillId="3" borderId="0" xfId="0" applyFont="1" applyFill="1" applyProtection="1">
      <protection hidden="1"/>
    </xf>
    <xf numFmtId="0" fontId="10" fillId="2" borderId="0" xfId="0" applyFont="1" applyFill="1" applyProtection="1">
      <protection hidden="1"/>
    </xf>
    <xf numFmtId="0" fontId="12" fillId="5" borderId="4" xfId="0" applyFont="1" applyFill="1" applyBorder="1" applyAlignment="1" applyProtection="1">
      <alignment horizontal="center"/>
      <protection locked="0"/>
    </xf>
    <xf numFmtId="0" fontId="12" fillId="5" borderId="4" xfId="0" applyFont="1" applyFill="1" applyBorder="1" applyAlignment="1" applyProtection="1">
      <alignment horizontal="center"/>
    </xf>
    <xf numFmtId="0" fontId="11" fillId="4" borderId="4" xfId="0" applyFont="1" applyFill="1" applyBorder="1" applyAlignment="1" applyProtection="1">
      <alignment horizontal="center"/>
      <protection hidden="1"/>
    </xf>
    <xf numFmtId="0" fontId="13" fillId="2" borderId="0" xfId="0" applyFont="1" applyFill="1" applyProtection="1">
      <protection hidden="1"/>
    </xf>
    <xf numFmtId="3" fontId="0" fillId="0" borderId="0" xfId="0" applyNumberFormat="1"/>
    <xf numFmtId="0" fontId="3" fillId="0" borderId="0" xfId="0" applyFont="1"/>
    <xf numFmtId="9" fontId="0" fillId="0" borderId="0" xfId="1" applyFont="1"/>
    <xf numFmtId="9" fontId="0" fillId="0" borderId="0" xfId="0" applyNumberFormat="1"/>
    <xf numFmtId="0" fontId="0" fillId="0" borderId="8" xfId="0" applyBorder="1"/>
    <xf numFmtId="0" fontId="0" fillId="0" borderId="13" xfId="0" applyBorder="1"/>
    <xf numFmtId="0" fontId="0" fillId="6" borderId="16" xfId="0" applyFill="1" applyBorder="1"/>
    <xf numFmtId="0" fontId="0" fillId="8" borderId="16" xfId="0" applyFill="1" applyBorder="1"/>
    <xf numFmtId="0" fontId="0" fillId="7" borderId="16" xfId="0" applyFill="1" applyBorder="1"/>
    <xf numFmtId="0" fontId="0" fillId="7" borderId="17" xfId="0" applyFill="1" applyBorder="1"/>
    <xf numFmtId="0" fontId="0" fillId="7" borderId="13" xfId="0" applyFill="1" applyBorder="1"/>
    <xf numFmtId="3" fontId="0" fillId="8" borderId="8" xfId="0" applyNumberFormat="1" applyFill="1" applyBorder="1" applyAlignment="1">
      <alignment horizontal="center"/>
    </xf>
    <xf numFmtId="3" fontId="0" fillId="8" borderId="9" xfId="0" applyNumberFormat="1" applyFill="1" applyBorder="1" applyAlignment="1">
      <alignment horizontal="center"/>
    </xf>
    <xf numFmtId="3" fontId="0" fillId="6" borderId="8" xfId="0" applyNumberFormat="1" applyFill="1" applyBorder="1" applyAlignment="1">
      <alignment horizontal="center"/>
    </xf>
    <xf numFmtId="3" fontId="0" fillId="6" borderId="9" xfId="0" applyNumberFormat="1" applyFill="1" applyBorder="1" applyAlignment="1">
      <alignment horizontal="center"/>
    </xf>
    <xf numFmtId="3" fontId="0" fillId="7" borderId="8" xfId="0" applyNumberFormat="1" applyFill="1" applyBorder="1" applyAlignment="1">
      <alignment horizontal="center"/>
    </xf>
    <xf numFmtId="3" fontId="0" fillId="7" borderId="9" xfId="0" applyNumberFormat="1" applyFill="1" applyBorder="1" applyAlignment="1">
      <alignment horizontal="center"/>
    </xf>
    <xf numFmtId="3" fontId="0" fillId="7" borderId="13" xfId="0" applyNumberFormat="1" applyFill="1" applyBorder="1" applyAlignment="1">
      <alignment horizontal="center"/>
    </xf>
    <xf numFmtId="3" fontId="0" fillId="7" borderId="14" xfId="0" applyNumberFormat="1" applyFill="1" applyBorder="1" applyAlignment="1">
      <alignment horizontal="center"/>
    </xf>
    <xf numFmtId="3" fontId="3" fillId="17" borderId="5" xfId="0" applyNumberFormat="1" applyFont="1" applyFill="1" applyBorder="1" applyAlignment="1">
      <alignment horizontal="center"/>
    </xf>
    <xf numFmtId="3" fontId="3" fillId="17" borderId="7" xfId="0" applyNumberFormat="1" applyFont="1" applyFill="1" applyBorder="1" applyAlignment="1">
      <alignment horizontal="center"/>
    </xf>
    <xf numFmtId="0" fontId="16" fillId="17" borderId="11" xfId="0" applyFont="1" applyFill="1" applyBorder="1" applyAlignment="1">
      <alignment horizontal="center"/>
    </xf>
    <xf numFmtId="0" fontId="16" fillId="17" borderId="12" xfId="0" applyFont="1" applyFill="1" applyBorder="1" applyAlignment="1">
      <alignment horizontal="center"/>
    </xf>
    <xf numFmtId="0" fontId="2" fillId="14" borderId="10" xfId="0" applyFont="1" applyFill="1" applyBorder="1"/>
    <xf numFmtId="0" fontId="2" fillId="14" borderId="5" xfId="0" applyFont="1" applyFill="1" applyBorder="1" applyAlignment="1">
      <alignment horizontal="center"/>
    </xf>
    <xf numFmtId="0" fontId="2" fillId="14" borderId="7" xfId="0" applyFont="1" applyFill="1" applyBorder="1" applyAlignment="1">
      <alignment horizontal="center"/>
    </xf>
    <xf numFmtId="0" fontId="0" fillId="0" borderId="0" xfId="0" applyAlignment="1">
      <alignment horizontal="center"/>
    </xf>
    <xf numFmtId="0" fontId="4" fillId="18" borderId="0" xfId="0" applyFont="1" applyFill="1" applyAlignment="1" applyProtection="1">
      <alignment horizontal="center"/>
      <protection hidden="1"/>
    </xf>
    <xf numFmtId="0" fontId="0" fillId="0" borderId="19" xfId="0" applyBorder="1"/>
    <xf numFmtId="0" fontId="0" fillId="0" borderId="12" xfId="0" applyBorder="1"/>
    <xf numFmtId="0" fontId="0" fillId="0" borderId="20" xfId="0" applyBorder="1"/>
    <xf numFmtId="0" fontId="11" fillId="4" borderId="24" xfId="0" applyFont="1" applyFill="1" applyBorder="1" applyAlignment="1" applyProtection="1">
      <alignment horizontal="center"/>
      <protection hidden="1"/>
    </xf>
    <xf numFmtId="0" fontId="11" fillId="4" borderId="25" xfId="0" applyFont="1" applyFill="1" applyBorder="1" applyAlignment="1" applyProtection="1">
      <alignment horizontal="center"/>
      <protection hidden="1"/>
    </xf>
    <xf numFmtId="9" fontId="11" fillId="4" borderId="26" xfId="1" applyFont="1" applyFill="1" applyBorder="1" applyAlignment="1" applyProtection="1">
      <alignment horizontal="center"/>
      <protection hidden="1"/>
    </xf>
    <xf numFmtId="9" fontId="11" fillId="4" borderId="27" xfId="1" applyFont="1" applyFill="1" applyBorder="1" applyAlignment="1" applyProtection="1">
      <alignment horizontal="center"/>
      <protection hidden="1"/>
    </xf>
    <xf numFmtId="9" fontId="11" fillId="4" borderId="28" xfId="1" applyFont="1" applyFill="1" applyBorder="1" applyAlignment="1" applyProtection="1">
      <alignment horizontal="center"/>
      <protection hidden="1"/>
    </xf>
    <xf numFmtId="0" fontId="0" fillId="5" borderId="5" xfId="0" applyFill="1" applyBorder="1"/>
    <xf numFmtId="0" fontId="0" fillId="5" borderId="6" xfId="0" applyFill="1" applyBorder="1"/>
    <xf numFmtId="0" fontId="12" fillId="5" borderId="18" xfId="0" applyFont="1" applyFill="1" applyBorder="1" applyAlignment="1" applyProtection="1">
      <alignment horizontal="center"/>
      <protection locked="0"/>
    </xf>
    <xf numFmtId="0" fontId="17" fillId="0" borderId="0" xfId="0" applyFont="1" applyFill="1" applyBorder="1" applyAlignment="1" applyProtection="1">
      <alignment horizontal="left"/>
      <protection hidden="1"/>
    </xf>
    <xf numFmtId="0" fontId="0" fillId="0" borderId="0" xfId="0" applyBorder="1"/>
    <xf numFmtId="0" fontId="17" fillId="0" borderId="20" xfId="0" applyFont="1" applyFill="1" applyBorder="1" applyAlignment="1" applyProtection="1">
      <alignment horizontal="left"/>
      <protection hidden="1"/>
    </xf>
    <xf numFmtId="0" fontId="3" fillId="0" borderId="11" xfId="0" applyFont="1" applyBorder="1"/>
    <xf numFmtId="0" fontId="3" fillId="0" borderId="13" xfId="0" applyFont="1" applyBorder="1"/>
    <xf numFmtId="0" fontId="3" fillId="0" borderId="17" xfId="0" applyFont="1" applyBorder="1" applyAlignment="1">
      <alignment horizontal="center"/>
    </xf>
    <xf numFmtId="0" fontId="0" fillId="6" borderId="5" xfId="0" applyFill="1" applyBorder="1"/>
    <xf numFmtId="9" fontId="0" fillId="6" borderId="10" xfId="1" applyFont="1" applyFill="1" applyBorder="1" applyAlignment="1">
      <alignment horizontal="center"/>
    </xf>
    <xf numFmtId="9" fontId="0" fillId="12" borderId="10" xfId="1" applyFont="1" applyFill="1" applyBorder="1" applyAlignment="1">
      <alignment horizontal="center"/>
    </xf>
    <xf numFmtId="9" fontId="0" fillId="7" borderId="10" xfId="0" applyNumberFormat="1" applyFill="1" applyBorder="1" applyAlignment="1">
      <alignment horizontal="center"/>
    </xf>
    <xf numFmtId="9" fontId="0" fillId="15" borderId="10" xfId="0" applyNumberFormat="1" applyFill="1" applyBorder="1" applyAlignment="1">
      <alignment horizontal="center"/>
    </xf>
    <xf numFmtId="0" fontId="3" fillId="0" borderId="29" xfId="0" applyFont="1" applyBorder="1" applyAlignment="1">
      <alignment horizontal="right"/>
    </xf>
    <xf numFmtId="0" fontId="3" fillId="0" borderId="33" xfId="0" applyFont="1" applyBorder="1" applyAlignment="1">
      <alignment horizontal="right"/>
    </xf>
    <xf numFmtId="0" fontId="0" fillId="5" borderId="20" xfId="0" applyFill="1" applyBorder="1"/>
    <xf numFmtId="0" fontId="0" fillId="5" borderId="14" xfId="0" applyFill="1" applyBorder="1"/>
    <xf numFmtId="0" fontId="3" fillId="0" borderId="0" xfId="0" applyFont="1" applyAlignment="1">
      <alignment horizontal="center"/>
    </xf>
    <xf numFmtId="0" fontId="3" fillId="0" borderId="19" xfId="0" applyFont="1" applyBorder="1"/>
    <xf numFmtId="0" fontId="3" fillId="0" borderId="12" xfId="0" applyFont="1" applyBorder="1"/>
    <xf numFmtId="0" fontId="18" fillId="0" borderId="0" xfId="0" applyFont="1"/>
    <xf numFmtId="0" fontId="16" fillId="0" borderId="0" xfId="0" applyFont="1" applyAlignment="1">
      <alignment horizontal="right"/>
    </xf>
    <xf numFmtId="0" fontId="3" fillId="0" borderId="0" xfId="0" applyFont="1" applyBorder="1"/>
    <xf numFmtId="0" fontId="0" fillId="0" borderId="10" xfId="0" applyBorder="1" applyAlignment="1">
      <alignment horizontal="center"/>
    </xf>
    <xf numFmtId="0" fontId="3" fillId="5" borderId="10" xfId="0" applyFont="1" applyFill="1" applyBorder="1" applyAlignment="1">
      <alignment horizontal="center"/>
    </xf>
    <xf numFmtId="0" fontId="0" fillId="0" borderId="0" xfId="0" applyFill="1" applyBorder="1"/>
    <xf numFmtId="9" fontId="0" fillId="8" borderId="8" xfId="1" applyFont="1" applyFill="1" applyBorder="1" applyAlignment="1">
      <alignment horizontal="center"/>
    </xf>
    <xf numFmtId="9" fontId="0" fillId="6" borderId="9" xfId="0" applyNumberFormat="1" applyFill="1" applyBorder="1" applyAlignment="1">
      <alignment horizontal="center"/>
    </xf>
    <xf numFmtId="0" fontId="2" fillId="14" borderId="41" xfId="0" applyFont="1" applyFill="1" applyBorder="1"/>
    <xf numFmtId="0" fontId="2" fillId="18" borderId="42" xfId="0" applyFont="1" applyFill="1" applyBorder="1" applyAlignment="1" applyProtection="1">
      <alignment horizontal="center"/>
      <protection hidden="1"/>
    </xf>
    <xf numFmtId="0" fontId="2" fillId="18" borderId="43" xfId="0" applyFont="1" applyFill="1" applyBorder="1" applyAlignment="1" applyProtection="1">
      <alignment horizontal="center"/>
      <protection hidden="1"/>
    </xf>
    <xf numFmtId="9" fontId="0" fillId="7" borderId="46" xfId="0" applyNumberFormat="1" applyFill="1" applyBorder="1" applyAlignment="1">
      <alignment horizontal="center"/>
    </xf>
    <xf numFmtId="3" fontId="3" fillId="17" borderId="48" xfId="0" applyNumberFormat="1" applyFont="1" applyFill="1" applyBorder="1" applyAlignment="1">
      <alignment horizontal="center"/>
    </xf>
    <xf numFmtId="0" fontId="0" fillId="8" borderId="44" xfId="0" applyFill="1" applyBorder="1" applyAlignment="1">
      <alignment horizontal="right"/>
    </xf>
    <xf numFmtId="0" fontId="0" fillId="6" borderId="44" xfId="0" applyFill="1" applyBorder="1" applyAlignment="1">
      <alignment horizontal="right"/>
    </xf>
    <xf numFmtId="0" fontId="0" fillId="7" borderId="44" xfId="0" applyFill="1" applyBorder="1" applyAlignment="1">
      <alignment horizontal="right"/>
    </xf>
    <xf numFmtId="0" fontId="0" fillId="7" borderId="47" xfId="0" applyFill="1" applyBorder="1" applyAlignment="1">
      <alignment horizontal="right"/>
    </xf>
    <xf numFmtId="0" fontId="0" fillId="0" borderId="3" xfId="0" applyBorder="1" applyAlignment="1">
      <alignment horizontal="right"/>
    </xf>
    <xf numFmtId="0" fontId="0" fillId="7" borderId="45" xfId="0" applyFill="1" applyBorder="1" applyAlignment="1">
      <alignment horizontal="right"/>
    </xf>
    <xf numFmtId="0" fontId="3" fillId="7" borderId="34" xfId="0" applyFont="1" applyFill="1" applyBorder="1" applyAlignment="1">
      <alignment horizontal="center"/>
    </xf>
    <xf numFmtId="0" fontId="3" fillId="7" borderId="35" xfId="0" applyFont="1" applyFill="1" applyBorder="1" applyAlignment="1">
      <alignment horizontal="center"/>
    </xf>
    <xf numFmtId="0" fontId="3" fillId="9" borderId="35" xfId="0" applyFont="1" applyFill="1" applyBorder="1" applyAlignment="1">
      <alignment horizontal="center"/>
    </xf>
    <xf numFmtId="9" fontId="0" fillId="0" borderId="38" xfId="1" applyFont="1" applyBorder="1" applyAlignment="1">
      <alignment horizontal="center"/>
    </xf>
    <xf numFmtId="9" fontId="0" fillId="0" borderId="39" xfId="1" applyFont="1" applyBorder="1" applyAlignment="1">
      <alignment horizontal="center"/>
    </xf>
    <xf numFmtId="9" fontId="0" fillId="0" borderId="40" xfId="1" applyFont="1" applyBorder="1" applyAlignment="1">
      <alignment horizontal="center"/>
    </xf>
    <xf numFmtId="0" fontId="11" fillId="4" borderId="0" xfId="0" applyFont="1" applyFill="1" applyBorder="1" applyProtection="1">
      <protection hidden="1"/>
    </xf>
    <xf numFmtId="0" fontId="15" fillId="4" borderId="0" xfId="0" applyFont="1" applyFill="1" applyBorder="1" applyProtection="1">
      <protection hidden="1"/>
    </xf>
    <xf numFmtId="0" fontId="15" fillId="2" borderId="0" xfId="0" applyFont="1" applyFill="1" applyProtection="1">
      <protection hidden="1"/>
    </xf>
    <xf numFmtId="0" fontId="11" fillId="2" borderId="0" xfId="0" applyFont="1" applyFill="1" applyProtection="1">
      <protection hidden="1"/>
    </xf>
    <xf numFmtId="0" fontId="21" fillId="2" borderId="0" xfId="0" applyFont="1" applyFill="1" applyProtection="1">
      <protection hidden="1"/>
    </xf>
    <xf numFmtId="0" fontId="7" fillId="2" borderId="0" xfId="0" applyFont="1" applyFill="1" applyBorder="1" applyProtection="1">
      <protection hidden="1"/>
    </xf>
    <xf numFmtId="0" fontId="4" fillId="19" borderId="49" xfId="0" applyFont="1" applyFill="1" applyBorder="1" applyProtection="1">
      <protection hidden="1"/>
    </xf>
    <xf numFmtId="0" fontId="4" fillId="19" borderId="49" xfId="0" applyFont="1" applyFill="1" applyBorder="1" applyAlignment="1" applyProtection="1">
      <alignment vertical="center"/>
      <protection hidden="1"/>
    </xf>
    <xf numFmtId="0" fontId="7" fillId="19" borderId="49" xfId="0" applyFont="1" applyFill="1" applyBorder="1" applyProtection="1">
      <protection hidden="1"/>
    </xf>
    <xf numFmtId="0" fontId="14" fillId="19" borderId="49" xfId="0" applyFont="1" applyFill="1" applyBorder="1" applyProtection="1">
      <protection hidden="1"/>
    </xf>
    <xf numFmtId="0" fontId="4" fillId="19" borderId="55" xfId="0" applyFont="1" applyFill="1" applyBorder="1" applyProtection="1">
      <protection hidden="1"/>
    </xf>
    <xf numFmtId="0" fontId="7" fillId="19" borderId="56" xfId="0" applyFont="1" applyFill="1" applyBorder="1" applyProtection="1">
      <protection hidden="1"/>
    </xf>
    <xf numFmtId="0" fontId="0" fillId="0" borderId="0" xfId="0" applyProtection="1">
      <protection hidden="1"/>
    </xf>
    <xf numFmtId="0" fontId="3" fillId="0" borderId="0" xfId="0" applyFont="1" applyProtection="1">
      <protection hidden="1"/>
    </xf>
    <xf numFmtId="3" fontId="12" fillId="11" borderId="4" xfId="0" applyNumberFormat="1" applyFont="1" applyFill="1" applyBorder="1" applyAlignment="1" applyProtection="1">
      <alignment horizontal="center"/>
      <protection hidden="1"/>
    </xf>
    <xf numFmtId="0" fontId="0" fillId="0" borderId="0" xfId="0" applyBorder="1" applyProtection="1">
      <protection hidden="1"/>
    </xf>
    <xf numFmtId="0" fontId="3" fillId="0" borderId="58" xfId="0" applyFont="1" applyFill="1" applyBorder="1" applyAlignment="1">
      <alignment horizontal="right"/>
    </xf>
    <xf numFmtId="9" fontId="0" fillId="0" borderId="57" xfId="1" applyFont="1" applyBorder="1" applyAlignment="1">
      <alignment horizontal="center"/>
    </xf>
    <xf numFmtId="9" fontId="0" fillId="0" borderId="59" xfId="1" applyFont="1" applyBorder="1" applyAlignment="1">
      <alignment horizontal="center"/>
    </xf>
    <xf numFmtId="0" fontId="0" fillId="0" borderId="8" xfId="0" applyFont="1" applyBorder="1"/>
    <xf numFmtId="164" fontId="0" fillId="0" borderId="0" xfId="2" applyNumberFormat="1" applyFont="1"/>
    <xf numFmtId="9" fontId="0" fillId="6" borderId="5" xfId="1" applyFont="1" applyFill="1" applyBorder="1" applyAlignment="1">
      <alignment horizontal="center"/>
    </xf>
    <xf numFmtId="9" fontId="0" fillId="6" borderId="7" xfId="1" applyFont="1" applyFill="1" applyBorder="1" applyAlignment="1">
      <alignment horizontal="center"/>
    </xf>
    <xf numFmtId="0" fontId="3" fillId="0" borderId="16" xfId="0" applyFont="1" applyBorder="1" applyAlignment="1">
      <alignment horizontal="center"/>
    </xf>
    <xf numFmtId="9" fontId="0" fillId="7" borderId="17" xfId="0" applyNumberFormat="1" applyFill="1" applyBorder="1" applyAlignment="1">
      <alignment horizontal="center"/>
    </xf>
    <xf numFmtId="9" fontId="0" fillId="15" borderId="17" xfId="0" applyNumberFormat="1" applyFill="1" applyBorder="1" applyAlignment="1">
      <alignment horizontal="center"/>
    </xf>
    <xf numFmtId="9" fontId="0" fillId="7" borderId="5" xfId="0" applyNumberFormat="1" applyFill="1" applyBorder="1" applyAlignment="1">
      <alignment horizontal="center"/>
    </xf>
    <xf numFmtId="9" fontId="0" fillId="15" borderId="7" xfId="0" applyNumberFormat="1" applyFill="1" applyBorder="1" applyAlignment="1">
      <alignment horizontal="center"/>
    </xf>
    <xf numFmtId="9" fontId="0" fillId="6" borderId="15" xfId="1" applyFont="1" applyFill="1" applyBorder="1" applyAlignment="1">
      <alignment horizontal="center"/>
    </xf>
    <xf numFmtId="9" fontId="26" fillId="6" borderId="60" xfId="1" applyFont="1" applyFill="1" applyBorder="1" applyAlignment="1">
      <alignment horizontal="center"/>
    </xf>
    <xf numFmtId="9" fontId="26" fillId="6" borderId="61" xfId="1" applyFont="1" applyFill="1" applyBorder="1" applyAlignment="1">
      <alignment horizontal="center"/>
    </xf>
    <xf numFmtId="9" fontId="26" fillId="12" borderId="61" xfId="1" applyFont="1" applyFill="1" applyBorder="1" applyAlignment="1">
      <alignment horizontal="center"/>
    </xf>
    <xf numFmtId="9" fontId="26" fillId="12" borderId="62" xfId="1" applyFont="1" applyFill="1" applyBorder="1" applyAlignment="1">
      <alignment horizontal="center"/>
    </xf>
    <xf numFmtId="9" fontId="26" fillId="7" borderId="60" xfId="0" applyNumberFormat="1" applyFont="1" applyFill="1" applyBorder="1" applyAlignment="1">
      <alignment horizontal="center"/>
    </xf>
    <xf numFmtId="9" fontId="26" fillId="7" borderId="62" xfId="0" applyNumberFormat="1" applyFont="1" applyFill="1" applyBorder="1" applyAlignment="1">
      <alignment horizontal="center"/>
    </xf>
    <xf numFmtId="9" fontId="25" fillId="0" borderId="0" xfId="1" applyFont="1" applyAlignment="1">
      <alignment horizontal="center"/>
    </xf>
    <xf numFmtId="3" fontId="27" fillId="6" borderId="8" xfId="0" applyNumberFormat="1" applyFont="1" applyFill="1" applyBorder="1" applyAlignment="1">
      <alignment horizontal="center"/>
    </xf>
    <xf numFmtId="3" fontId="27" fillId="6" borderId="9" xfId="0" applyNumberFormat="1" applyFont="1" applyFill="1" applyBorder="1" applyAlignment="1">
      <alignment horizontal="center"/>
    </xf>
    <xf numFmtId="3" fontId="27" fillId="7" borderId="13" xfId="0" applyNumberFormat="1" applyFont="1" applyFill="1" applyBorder="1" applyAlignment="1">
      <alignment horizontal="center"/>
    </xf>
    <xf numFmtId="3" fontId="27" fillId="7" borderId="14" xfId="0" applyNumberFormat="1" applyFont="1" applyFill="1" applyBorder="1" applyAlignment="1">
      <alignment horizontal="center"/>
    </xf>
    <xf numFmtId="0" fontId="0" fillId="0" borderId="0" xfId="0"/>
    <xf numFmtId="0" fontId="24" fillId="0" borderId="0" xfId="0" applyFont="1"/>
    <xf numFmtId="2" fontId="0" fillId="0" borderId="0" xfId="0" applyNumberFormat="1"/>
    <xf numFmtId="0" fontId="28" fillId="0" borderId="0" xfId="0" applyFont="1" applyAlignment="1">
      <alignment horizontal="center"/>
    </xf>
    <xf numFmtId="0" fontId="24" fillId="0" borderId="0" xfId="0" applyFont="1" applyAlignment="1">
      <alignment horizontal="left"/>
    </xf>
    <xf numFmtId="0" fontId="3" fillId="0" borderId="65" xfId="0" applyFont="1" applyFill="1" applyBorder="1" applyAlignment="1">
      <alignment horizontal="right"/>
    </xf>
    <xf numFmtId="0" fontId="3" fillId="0" borderId="66" xfId="0" applyFont="1" applyFill="1" applyBorder="1" applyAlignment="1">
      <alignment horizontal="right"/>
    </xf>
    <xf numFmtId="3" fontId="0" fillId="0" borderId="20" xfId="0" applyNumberFormat="1" applyBorder="1"/>
    <xf numFmtId="0" fontId="0" fillId="0" borderId="0" xfId="0"/>
    <xf numFmtId="0" fontId="0" fillId="0" borderId="0" xfId="0"/>
    <xf numFmtId="3" fontId="0" fillId="0" borderId="0" xfId="0" applyNumberFormat="1"/>
    <xf numFmtId="0" fontId="0" fillId="0" borderId="0" xfId="0"/>
    <xf numFmtId="3" fontId="0" fillId="0" borderId="0" xfId="0" applyNumberFormat="1"/>
    <xf numFmtId="0" fontId="0" fillId="0" borderId="0" xfId="0"/>
    <xf numFmtId="0" fontId="0" fillId="0" borderId="0" xfId="0"/>
    <xf numFmtId="0" fontId="0" fillId="0" borderId="0" xfId="0"/>
    <xf numFmtId="9" fontId="28" fillId="0" borderId="64" xfId="1" applyFont="1" applyBorder="1" applyAlignment="1">
      <alignment horizontal="center"/>
    </xf>
    <xf numFmtId="9" fontId="28" fillId="0" borderId="63" xfId="1" applyFont="1" applyBorder="1" applyAlignment="1">
      <alignment horizontal="center"/>
    </xf>
    <xf numFmtId="9" fontId="28" fillId="0" borderId="1" xfId="1" applyFont="1" applyBorder="1" applyAlignment="1">
      <alignment horizontal="center"/>
    </xf>
    <xf numFmtId="9" fontId="28" fillId="0" borderId="0" xfId="1" applyFont="1" applyBorder="1" applyAlignment="1">
      <alignment horizontal="center"/>
    </xf>
    <xf numFmtId="3" fontId="3" fillId="20" borderId="5" xfId="0" applyNumberFormat="1" applyFont="1" applyFill="1" applyBorder="1" applyAlignment="1">
      <alignment horizontal="center"/>
    </xf>
    <xf numFmtId="3" fontId="3" fillId="20" borderId="7" xfId="0" applyNumberFormat="1" applyFont="1" applyFill="1" applyBorder="1" applyAlignment="1">
      <alignment horizontal="center"/>
    </xf>
    <xf numFmtId="9" fontId="0" fillId="0" borderId="67" xfId="1" applyFont="1" applyBorder="1" applyAlignment="1">
      <alignment horizontal="center"/>
    </xf>
    <xf numFmtId="0" fontId="29" fillId="0" borderId="0" xfId="0" applyFont="1"/>
    <xf numFmtId="9" fontId="0" fillId="0" borderId="0" xfId="1" applyFont="1" applyBorder="1" applyAlignment="1">
      <alignment horizontal="center"/>
    </xf>
    <xf numFmtId="0" fontId="0" fillId="23" borderId="0" xfId="0" applyFill="1" applyBorder="1"/>
    <xf numFmtId="0" fontId="30" fillId="23" borderId="0" xfId="0" applyFont="1" applyFill="1" applyBorder="1" applyAlignment="1">
      <alignment horizontal="center"/>
    </xf>
    <xf numFmtId="0" fontId="30" fillId="23" borderId="0" xfId="0" applyFont="1" applyFill="1" applyBorder="1"/>
    <xf numFmtId="165" fontId="30" fillId="23" borderId="0" xfId="0" applyNumberFormat="1" applyFont="1" applyFill="1" applyBorder="1"/>
    <xf numFmtId="0" fontId="0" fillId="23" borderId="68" xfId="0" applyFill="1" applyBorder="1"/>
    <xf numFmtId="0" fontId="0" fillId="23" borderId="69" xfId="0" applyFill="1" applyBorder="1"/>
    <xf numFmtId="0" fontId="0" fillId="23" borderId="38" xfId="0" applyFill="1" applyBorder="1"/>
    <xf numFmtId="0" fontId="0" fillId="23" borderId="39" xfId="0" applyFill="1" applyBorder="1"/>
    <xf numFmtId="0" fontId="0" fillId="23" borderId="40" xfId="0" applyFill="1" applyBorder="1"/>
    <xf numFmtId="0" fontId="3" fillId="0" borderId="41" xfId="0" applyFont="1" applyBorder="1"/>
    <xf numFmtId="0" fontId="2" fillId="18" borderId="70" xfId="0" applyFont="1" applyFill="1" applyBorder="1" applyAlignment="1" applyProtection="1">
      <alignment horizontal="center"/>
      <protection hidden="1"/>
    </xf>
    <xf numFmtId="0" fontId="2" fillId="18" borderId="71" xfId="0" applyFont="1" applyFill="1" applyBorder="1" applyAlignment="1" applyProtection="1">
      <alignment horizontal="center"/>
      <protection hidden="1"/>
    </xf>
    <xf numFmtId="0" fontId="0" fillId="0" borderId="72" xfId="0" applyBorder="1"/>
    <xf numFmtId="0" fontId="0" fillId="0" borderId="73" xfId="0" applyBorder="1" applyAlignment="1">
      <alignment horizontal="center"/>
    </xf>
    <xf numFmtId="0" fontId="3" fillId="0" borderId="72" xfId="0" applyFont="1" applyBorder="1" applyAlignment="1">
      <alignment horizontal="right"/>
    </xf>
    <xf numFmtId="0" fontId="3" fillId="5" borderId="73" xfId="0" applyFont="1" applyFill="1" applyBorder="1" applyAlignment="1">
      <alignment horizontal="center"/>
    </xf>
    <xf numFmtId="0" fontId="3" fillId="0" borderId="74" xfId="0" applyFont="1" applyBorder="1" applyAlignment="1">
      <alignment horizontal="right"/>
    </xf>
    <xf numFmtId="9" fontId="0" fillId="10" borderId="37" xfId="0" applyNumberFormat="1" applyFill="1" applyBorder="1" applyAlignment="1">
      <alignment horizontal="center"/>
    </xf>
    <xf numFmtId="9" fontId="0" fillId="10" borderId="75" xfId="0" applyNumberFormat="1" applyFill="1" applyBorder="1" applyAlignment="1">
      <alignment horizontal="center"/>
    </xf>
    <xf numFmtId="3" fontId="0" fillId="22" borderId="8" xfId="0" applyNumberFormat="1" applyFont="1" applyFill="1" applyBorder="1" applyAlignment="1">
      <alignment horizontal="center"/>
    </xf>
    <xf numFmtId="3" fontId="0" fillId="22" borderId="9" xfId="0" applyNumberFormat="1" applyFont="1" applyFill="1" applyBorder="1" applyAlignment="1">
      <alignment horizontal="center"/>
    </xf>
    <xf numFmtId="3" fontId="0" fillId="6" borderId="8" xfId="0" applyNumberFormat="1" applyFont="1" applyFill="1" applyBorder="1" applyAlignment="1">
      <alignment horizontal="center"/>
    </xf>
    <xf numFmtId="3" fontId="0" fillId="6" borderId="9" xfId="0" applyNumberFormat="1" applyFont="1" applyFill="1" applyBorder="1" applyAlignment="1">
      <alignment horizontal="center"/>
    </xf>
    <xf numFmtId="3" fontId="0" fillId="7" borderId="8" xfId="0" applyNumberFormat="1" applyFont="1" applyFill="1" applyBorder="1" applyAlignment="1">
      <alignment horizontal="center"/>
    </xf>
    <xf numFmtId="3" fontId="0" fillId="7" borderId="9" xfId="0" applyNumberFormat="1" applyFont="1" applyFill="1" applyBorder="1" applyAlignment="1">
      <alignment horizontal="center"/>
    </xf>
    <xf numFmtId="3" fontId="0" fillId="21" borderId="8" xfId="0" applyNumberFormat="1" applyFont="1" applyFill="1" applyBorder="1" applyAlignment="1">
      <alignment horizontal="center"/>
    </xf>
    <xf numFmtId="3" fontId="0" fillId="21" borderId="9" xfId="0" applyNumberFormat="1" applyFont="1" applyFill="1" applyBorder="1" applyAlignment="1">
      <alignment horizontal="center"/>
    </xf>
    <xf numFmtId="3" fontId="0" fillId="7" borderId="13" xfId="0" applyNumberFormat="1" applyFont="1" applyFill="1" applyBorder="1" applyAlignment="1">
      <alignment horizontal="center"/>
    </xf>
    <xf numFmtId="3" fontId="0" fillId="7" borderId="14" xfId="0" applyNumberFormat="1" applyFont="1" applyFill="1" applyBorder="1" applyAlignment="1">
      <alignment horizont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applyAlignment="1">
      <alignment horizontal="left"/>
    </xf>
    <xf numFmtId="166" fontId="0" fillId="0" borderId="0" xfId="0" applyNumberFormat="1"/>
    <xf numFmtId="0" fontId="33" fillId="0" borderId="0" xfId="3" applyFont="1" applyFill="1"/>
    <xf numFmtId="0" fontId="33" fillId="0" borderId="0" xfId="0" applyFont="1" applyFill="1"/>
    <xf numFmtId="0" fontId="28" fillId="0" borderId="0" xfId="0" applyFont="1"/>
    <xf numFmtId="3" fontId="0" fillId="0" borderId="0" xfId="0" applyNumberFormat="1" applyAlignment="1">
      <alignment horizontal="center"/>
    </xf>
    <xf numFmtId="14" fontId="0" fillId="0" borderId="0" xfId="0" applyNumberFormat="1"/>
    <xf numFmtId="1" fontId="0" fillId="0" borderId="0" xfId="0" applyNumberFormat="1" applyAlignment="1">
      <alignment horizontal="center"/>
    </xf>
    <xf numFmtId="168" fontId="0" fillId="0" borderId="0" xfId="0" applyNumberFormat="1"/>
    <xf numFmtId="14" fontId="7" fillId="2" borderId="0" xfId="0" applyNumberFormat="1" applyFont="1" applyFill="1" applyBorder="1" applyProtection="1">
      <protection hidden="1"/>
    </xf>
    <xf numFmtId="0" fontId="0" fillId="5" borderId="0" xfId="0" applyFill="1"/>
    <xf numFmtId="0" fontId="0" fillId="7" borderId="0" xfId="0" applyFill="1"/>
    <xf numFmtId="0" fontId="24" fillId="7" borderId="0" xfId="0" applyFont="1" applyFill="1"/>
    <xf numFmtId="3" fontId="0" fillId="7" borderId="0" xfId="0" applyNumberFormat="1" applyFill="1"/>
    <xf numFmtId="0" fontId="0" fillId="7" borderId="20" xfId="0" applyFill="1" applyBorder="1"/>
    <xf numFmtId="3" fontId="0" fillId="7" borderId="20" xfId="0" applyNumberFormat="1" applyFill="1" applyBorder="1"/>
    <xf numFmtId="0" fontId="0" fillId="6" borderId="0" xfId="0" applyFill="1"/>
    <xf numFmtId="0" fontId="3" fillId="6" borderId="0" xfId="0" applyFont="1" applyFill="1"/>
    <xf numFmtId="0" fontId="24" fillId="6" borderId="0" xfId="0" applyFont="1" applyFill="1"/>
    <xf numFmtId="3" fontId="0" fillId="6" borderId="0" xfId="0" applyNumberFormat="1" applyFill="1"/>
    <xf numFmtId="0" fontId="0" fillId="6" borderId="20" xfId="0" applyFill="1" applyBorder="1"/>
    <xf numFmtId="3" fontId="0" fillId="6" borderId="20" xfId="0" applyNumberFormat="1" applyFill="1" applyBorder="1"/>
    <xf numFmtId="0" fontId="3" fillId="7" borderId="0" xfId="0" applyFont="1" applyFill="1"/>
    <xf numFmtId="166" fontId="3" fillId="0" borderId="0" xfId="0" applyNumberFormat="1" applyFont="1"/>
    <xf numFmtId="9" fontId="33" fillId="0" borderId="0" xfId="1" applyFont="1" applyFill="1"/>
    <xf numFmtId="0" fontId="3" fillId="2" borderId="35" xfId="0" applyFont="1" applyFill="1" applyBorder="1" applyAlignment="1">
      <alignment horizontal="center"/>
    </xf>
    <xf numFmtId="0" fontId="3" fillId="9" borderId="36" xfId="0" applyFont="1" applyFill="1" applyBorder="1" applyAlignment="1">
      <alignment horizontal="center"/>
    </xf>
    <xf numFmtId="0" fontId="34" fillId="7" borderId="35" xfId="0" applyFont="1" applyFill="1" applyBorder="1" applyAlignment="1">
      <alignment horizontal="center"/>
    </xf>
    <xf numFmtId="0" fontId="34" fillId="2" borderId="35" xfId="0" applyFont="1" applyFill="1" applyBorder="1" applyAlignment="1">
      <alignment horizontal="center"/>
    </xf>
    <xf numFmtId="0" fontId="0" fillId="8" borderId="0" xfId="0" applyFill="1"/>
    <xf numFmtId="0" fontId="3" fillId="8" borderId="0" xfId="0" applyFont="1" applyFill="1"/>
    <xf numFmtId="0" fontId="4" fillId="19" borderId="76" xfId="0" applyFont="1" applyFill="1" applyBorder="1" applyProtection="1">
      <protection hidden="1"/>
    </xf>
    <xf numFmtId="0" fontId="4" fillId="19" borderId="77" xfId="0" applyFont="1" applyFill="1" applyBorder="1" applyProtection="1">
      <protection hidden="1"/>
    </xf>
    <xf numFmtId="0" fontId="4" fillId="19" borderId="77" xfId="0" applyFont="1" applyFill="1" applyBorder="1" applyAlignment="1" applyProtection="1">
      <alignment vertical="center"/>
      <protection hidden="1"/>
    </xf>
    <xf numFmtId="0" fontId="7" fillId="19" borderId="77" xfId="0" applyFont="1" applyFill="1" applyBorder="1" applyProtection="1">
      <protection hidden="1"/>
    </xf>
    <xf numFmtId="0" fontId="14" fillId="19" borderId="77" xfId="0" applyFont="1" applyFill="1" applyBorder="1" applyProtection="1">
      <protection hidden="1"/>
    </xf>
    <xf numFmtId="0" fontId="7" fillId="19" borderId="78" xfId="0" applyFont="1" applyFill="1" applyBorder="1" applyProtection="1">
      <protection hidden="1"/>
    </xf>
    <xf numFmtId="0" fontId="35" fillId="0" borderId="0" xfId="0" applyFont="1" applyAlignment="1">
      <alignment horizontal="left"/>
    </xf>
    <xf numFmtId="0" fontId="29" fillId="0" borderId="0" xfId="0" applyFont="1" applyAlignment="1">
      <alignment horizontal="center"/>
    </xf>
    <xf numFmtId="9" fontId="29" fillId="0" borderId="64" xfId="1" applyFont="1" applyBorder="1" applyAlignment="1">
      <alignment horizontal="center"/>
    </xf>
    <xf numFmtId="9" fontId="29" fillId="0" borderId="63" xfId="1" applyFont="1" applyBorder="1" applyAlignment="1">
      <alignment horizontal="center"/>
    </xf>
    <xf numFmtId="9" fontId="29" fillId="0" borderId="1" xfId="1" applyFont="1" applyBorder="1" applyAlignment="1">
      <alignment horizontal="center"/>
    </xf>
    <xf numFmtId="9" fontId="29" fillId="0" borderId="0" xfId="1" applyFont="1" applyBorder="1" applyAlignment="1">
      <alignment horizontal="center"/>
    </xf>
    <xf numFmtId="0" fontId="0" fillId="0" borderId="0" xfId="0" applyBorder="1" applyAlignment="1">
      <alignment horizontal="center"/>
    </xf>
    <xf numFmtId="166" fontId="0" fillId="0" borderId="0" xfId="0" applyNumberFormat="1" applyBorder="1"/>
    <xf numFmtId="0" fontId="3" fillId="0" borderId="0" xfId="0" applyFont="1" applyFill="1" applyBorder="1" applyAlignment="1">
      <alignment horizontal="right"/>
    </xf>
    <xf numFmtId="166" fontId="0" fillId="0" borderId="0" xfId="0" applyNumberFormat="1" applyBorder="1" applyAlignment="1">
      <alignment horizontal="center"/>
    </xf>
    <xf numFmtId="9" fontId="11" fillId="4" borderId="27" xfId="1" applyFont="1" applyFill="1" applyBorder="1" applyAlignment="1" applyProtection="1">
      <alignment horizontal="right"/>
      <protection hidden="1"/>
    </xf>
    <xf numFmtId="0" fontId="40" fillId="25" borderId="79" xfId="0" applyFont="1" applyFill="1" applyBorder="1" applyAlignment="1">
      <alignment horizontal="left" vertical="top" wrapText="1"/>
    </xf>
    <xf numFmtId="0" fontId="41" fillId="0" borderId="0" xfId="0" applyFont="1" applyAlignment="1">
      <alignment horizontal="right"/>
    </xf>
    <xf numFmtId="0" fontId="40" fillId="25" borderId="83" xfId="0" applyFont="1" applyFill="1" applyBorder="1" applyAlignment="1">
      <alignment horizontal="center" vertical="center" wrapText="1"/>
    </xf>
    <xf numFmtId="0" fontId="40" fillId="25" borderId="84" xfId="0" applyFont="1" applyFill="1" applyBorder="1" applyAlignment="1">
      <alignment horizontal="left" vertical="top" wrapText="1"/>
    </xf>
    <xf numFmtId="0" fontId="40" fillId="25" borderId="85" xfId="0" applyFont="1" applyFill="1" applyBorder="1" applyAlignment="1">
      <alignment horizontal="left" vertical="top" wrapText="1"/>
    </xf>
    <xf numFmtId="0" fontId="40" fillId="25" borderId="86" xfId="0" applyFont="1" applyFill="1" applyBorder="1" applyAlignment="1">
      <alignment horizontal="left" vertical="top" wrapText="1"/>
    </xf>
    <xf numFmtId="0" fontId="40" fillId="25" borderId="79" xfId="0" applyFont="1" applyFill="1" applyBorder="1" applyAlignment="1">
      <alignment horizontal="right" wrapText="1"/>
    </xf>
    <xf numFmtId="0" fontId="42" fillId="3" borderId="87" xfId="0" applyFont="1" applyFill="1" applyBorder="1" applyAlignment="1">
      <alignment horizontal="left" vertical="center" wrapText="1"/>
    </xf>
    <xf numFmtId="0" fontId="40" fillId="25" borderId="88" xfId="0" applyFont="1" applyFill="1" applyBorder="1" applyAlignment="1">
      <alignment horizontal="left" wrapText="1"/>
    </xf>
    <xf numFmtId="0" fontId="40" fillId="25" borderId="82" xfId="0" applyFont="1" applyFill="1" applyBorder="1" applyAlignment="1">
      <alignment horizontal="left" wrapText="1"/>
    </xf>
    <xf numFmtId="0" fontId="40" fillId="25" borderId="83" xfId="0" applyFont="1" applyFill="1" applyBorder="1" applyAlignment="1">
      <alignment horizontal="right" wrapText="1"/>
    </xf>
    <xf numFmtId="0" fontId="42" fillId="3" borderId="89" xfId="0" applyFont="1" applyFill="1" applyBorder="1" applyAlignment="1">
      <alignment horizontal="left" vertical="center" wrapText="1"/>
    </xf>
    <xf numFmtId="0" fontId="42" fillId="3" borderId="90" xfId="0" applyFont="1" applyFill="1" applyBorder="1" applyAlignment="1">
      <alignment horizontal="right" vertical="center" wrapText="1"/>
    </xf>
    <xf numFmtId="0" fontId="42" fillId="3" borderId="91" xfId="0" applyFont="1" applyFill="1" applyBorder="1" applyAlignment="1">
      <alignment horizontal="left" vertical="center" wrapText="1"/>
    </xf>
    <xf numFmtId="0" fontId="42" fillId="3" borderId="92" xfId="0" applyFont="1" applyFill="1" applyBorder="1" applyAlignment="1">
      <alignment horizontal="left" vertical="center" wrapText="1"/>
    </xf>
    <xf numFmtId="0" fontId="42" fillId="3" borderId="0" xfId="0" applyFont="1" applyFill="1" applyBorder="1" applyAlignment="1">
      <alignment horizontal="right" vertical="center" wrapText="1"/>
    </xf>
    <xf numFmtId="0" fontId="40" fillId="25" borderId="80" xfId="0" applyFont="1" applyFill="1" applyBorder="1" applyAlignment="1">
      <alignment horizontal="center" wrapText="1"/>
    </xf>
    <xf numFmtId="0" fontId="39" fillId="3" borderId="87" xfId="0" applyFont="1" applyFill="1" applyBorder="1" applyAlignment="1">
      <alignment horizontal="right" vertical="top"/>
    </xf>
    <xf numFmtId="0" fontId="40" fillId="25" borderId="93" xfId="0" applyFont="1" applyFill="1" applyBorder="1" applyAlignment="1">
      <alignment horizontal="center" wrapText="1"/>
    </xf>
    <xf numFmtId="0" fontId="40" fillId="25" borderId="95" xfId="0" applyFont="1" applyFill="1" applyBorder="1" applyAlignment="1">
      <alignment horizontal="center" wrapText="1"/>
    </xf>
    <xf numFmtId="0" fontId="40" fillId="25" borderId="84" xfId="0" applyFont="1" applyFill="1" applyBorder="1" applyAlignment="1">
      <alignment horizontal="left" wrapText="1"/>
    </xf>
    <xf numFmtId="0" fontId="40" fillId="25" borderId="80" xfId="0" applyFont="1" applyFill="1" applyBorder="1" applyAlignment="1">
      <alignment horizontal="right" wrapText="1"/>
    </xf>
    <xf numFmtId="0" fontId="39" fillId="3" borderId="90" xfId="0" applyFont="1" applyFill="1" applyBorder="1" applyAlignment="1">
      <alignment horizontal="right" vertical="center"/>
    </xf>
    <xf numFmtId="0" fontId="39" fillId="3" borderId="91" xfId="0" applyFont="1" applyFill="1" applyBorder="1" applyAlignment="1">
      <alignment horizontal="left" vertical="top"/>
    </xf>
    <xf numFmtId="0" fontId="39" fillId="3" borderId="92" xfId="0" applyFont="1" applyFill="1" applyBorder="1" applyAlignment="1">
      <alignment horizontal="right" vertical="top"/>
    </xf>
    <xf numFmtId="0" fontId="39" fillId="3" borderId="0" xfId="0" applyFont="1" applyFill="1" applyBorder="1" applyAlignment="1">
      <alignment horizontal="right" vertical="center"/>
    </xf>
    <xf numFmtId="0" fontId="40" fillId="25" borderId="94" xfId="0" applyFont="1" applyFill="1" applyBorder="1" applyAlignment="1">
      <alignment horizontal="center" wrapText="1"/>
    </xf>
    <xf numFmtId="9" fontId="28" fillId="0" borderId="64" xfId="1" applyNumberFormat="1" applyFont="1" applyBorder="1" applyAlignment="1">
      <alignment horizontal="left" indent="1"/>
    </xf>
    <xf numFmtId="9" fontId="28" fillId="0" borderId="63" xfId="1" applyNumberFormat="1" applyFont="1" applyBorder="1" applyAlignment="1">
      <alignment horizontal="left" indent="1"/>
    </xf>
    <xf numFmtId="9" fontId="28" fillId="0" borderId="1" xfId="1" applyNumberFormat="1" applyFont="1" applyBorder="1" applyAlignment="1">
      <alignment horizontal="left" indent="1"/>
    </xf>
    <xf numFmtId="9" fontId="28" fillId="0" borderId="0" xfId="1" applyNumberFormat="1" applyFont="1" applyBorder="1" applyAlignment="1">
      <alignment horizontal="left" indent="1"/>
    </xf>
    <xf numFmtId="0" fontId="43" fillId="0" borderId="0" xfId="0" applyFont="1"/>
    <xf numFmtId="16" fontId="40" fillId="25" borderId="85" xfId="0" quotePrefix="1" applyNumberFormat="1" applyFont="1" applyFill="1" applyBorder="1" applyAlignment="1">
      <alignment horizontal="left" vertical="top" wrapText="1"/>
    </xf>
    <xf numFmtId="16" fontId="40" fillId="25" borderId="84" xfId="0" quotePrefix="1" applyNumberFormat="1" applyFont="1" applyFill="1" applyBorder="1" applyAlignment="1">
      <alignment horizontal="left" vertical="top" wrapText="1"/>
    </xf>
    <xf numFmtId="0" fontId="0" fillId="9" borderId="0" xfId="0" applyFill="1"/>
    <xf numFmtId="0" fontId="42" fillId="9" borderId="0" xfId="0" applyFont="1" applyFill="1" applyBorder="1" applyAlignment="1">
      <alignment horizontal="left" vertical="center"/>
    </xf>
    <xf numFmtId="0" fontId="0" fillId="26" borderId="0" xfId="0" applyFill="1"/>
    <xf numFmtId="10" fontId="0" fillId="0" borderId="0" xfId="0" applyNumberFormat="1"/>
    <xf numFmtId="10" fontId="0" fillId="0" borderId="0" xfId="1" applyNumberFormat="1" applyFont="1" applyFill="1" applyBorder="1" applyAlignment="1">
      <alignment horizontal="center"/>
    </xf>
    <xf numFmtId="0" fontId="0" fillId="0" borderId="9" xfId="0" applyBorder="1"/>
    <xf numFmtId="0" fontId="0" fillId="0" borderId="11" xfId="0" applyFont="1" applyBorder="1"/>
    <xf numFmtId="0" fontId="3" fillId="0" borderId="9" xfId="0" applyFont="1" applyBorder="1"/>
    <xf numFmtId="0" fontId="0" fillId="5" borderId="7" xfId="0" applyFill="1" applyBorder="1"/>
    <xf numFmtId="0" fontId="4" fillId="27" borderId="50" xfId="0" applyFont="1" applyFill="1" applyBorder="1" applyProtection="1">
      <protection hidden="1"/>
    </xf>
    <xf numFmtId="0" fontId="4" fillId="27" borderId="51" xfId="0" applyFont="1" applyFill="1" applyBorder="1" applyProtection="1">
      <protection hidden="1"/>
    </xf>
    <xf numFmtId="0" fontId="4" fillId="27" borderId="52" xfId="0" applyFont="1" applyFill="1" applyBorder="1" applyProtection="1">
      <protection hidden="1"/>
    </xf>
    <xf numFmtId="0" fontId="4" fillId="27" borderId="53" xfId="0" applyFont="1" applyFill="1" applyBorder="1" applyProtection="1">
      <protection hidden="1"/>
    </xf>
    <xf numFmtId="0" fontId="6" fillId="27" borderId="0" xfId="0" applyFont="1" applyFill="1" applyBorder="1" applyAlignment="1" applyProtection="1">
      <alignment horizontal="left" vertical="center"/>
      <protection hidden="1"/>
    </xf>
    <xf numFmtId="0" fontId="4" fillId="27" borderId="0" xfId="0" applyFont="1" applyFill="1" applyBorder="1" applyProtection="1">
      <protection hidden="1"/>
    </xf>
    <xf numFmtId="0" fontId="4" fillId="27" borderId="54" xfId="0" applyFont="1" applyFill="1" applyBorder="1" applyProtection="1">
      <protection hidden="1"/>
    </xf>
    <xf numFmtId="0" fontId="8" fillId="27" borderId="0" xfId="0" applyFont="1" applyFill="1" applyBorder="1" applyAlignment="1" applyProtection="1">
      <alignment horizontal="left" vertical="center"/>
      <protection hidden="1"/>
    </xf>
    <xf numFmtId="0" fontId="11" fillId="27" borderId="0" xfId="0" applyFont="1" applyFill="1" applyBorder="1" applyProtection="1">
      <protection hidden="1"/>
    </xf>
    <xf numFmtId="0" fontId="11" fillId="8" borderId="53" xfId="0" applyFont="1" applyFill="1" applyBorder="1" applyProtection="1">
      <protection hidden="1"/>
    </xf>
    <xf numFmtId="0" fontId="11" fillId="8" borderId="0" xfId="0" applyFont="1" applyFill="1" applyBorder="1" applyProtection="1">
      <protection hidden="1"/>
    </xf>
    <xf numFmtId="0" fontId="11" fillId="8" borderId="0" xfId="0" applyFont="1" applyFill="1" applyBorder="1" applyAlignment="1" applyProtection="1">
      <alignment horizontal="right" vertical="center"/>
      <protection hidden="1"/>
    </xf>
    <xf numFmtId="0" fontId="21" fillId="8" borderId="0" xfId="0" applyFont="1" applyFill="1" applyBorder="1" applyAlignment="1" applyProtection="1">
      <alignment horizontal="right" vertical="center"/>
      <protection hidden="1"/>
    </xf>
    <xf numFmtId="0" fontId="15" fillId="8" borderId="0" xfId="0" applyFont="1" applyFill="1" applyBorder="1" applyProtection="1">
      <protection hidden="1"/>
    </xf>
    <xf numFmtId="0" fontId="23" fillId="8" borderId="54" xfId="0" applyFont="1" applyFill="1" applyBorder="1" applyProtection="1">
      <protection hidden="1"/>
    </xf>
    <xf numFmtId="0" fontId="7" fillId="8" borderId="54" xfId="0" applyFont="1" applyFill="1" applyBorder="1" applyProtection="1">
      <protection hidden="1"/>
    </xf>
    <xf numFmtId="0" fontId="13" fillId="8" borderId="54" xfId="0" applyFont="1" applyFill="1" applyBorder="1" applyProtection="1">
      <protection hidden="1"/>
    </xf>
    <xf numFmtId="0" fontId="22" fillId="8" borderId="0" xfId="0" applyFont="1" applyFill="1" applyBorder="1" applyProtection="1">
      <protection hidden="1"/>
    </xf>
    <xf numFmtId="0" fontId="15" fillId="8" borderId="54" xfId="0" applyFont="1" applyFill="1" applyBorder="1" applyProtection="1">
      <protection hidden="1"/>
    </xf>
    <xf numFmtId="0" fontId="37" fillId="8" borderId="0" xfId="0" applyFont="1" applyFill="1" applyBorder="1" applyAlignment="1" applyProtection="1">
      <alignment horizontal="left" vertical="center"/>
      <protection hidden="1"/>
    </xf>
    <xf numFmtId="0" fontId="36" fillId="8" borderId="0" xfId="0" applyFont="1" applyFill="1" applyBorder="1" applyAlignment="1" applyProtection="1">
      <alignment horizontal="left" vertical="center"/>
      <protection hidden="1"/>
    </xf>
    <xf numFmtId="0" fontId="11" fillId="8" borderId="0" xfId="0" applyFont="1" applyFill="1" applyBorder="1" applyAlignment="1" applyProtection="1">
      <alignment vertical="center"/>
      <protection hidden="1"/>
    </xf>
    <xf numFmtId="0" fontId="38" fillId="8" borderId="0" xfId="0" applyFont="1" applyFill="1" applyBorder="1" applyProtection="1">
      <protection hidden="1"/>
    </xf>
    <xf numFmtId="0" fontId="46" fillId="8" borderId="0" xfId="0" applyFont="1" applyFill="1" applyBorder="1" applyProtection="1">
      <protection hidden="1"/>
    </xf>
    <xf numFmtId="0" fontId="11" fillId="8" borderId="0" xfId="0" applyFont="1" applyFill="1" applyBorder="1" applyAlignment="1" applyProtection="1">
      <alignment horizontal="right"/>
      <protection hidden="1"/>
    </xf>
    <xf numFmtId="0" fontId="47" fillId="8" borderId="0" xfId="0" applyFont="1" applyFill="1" applyBorder="1" applyAlignment="1" applyProtection="1">
      <alignment horizontal="left"/>
      <protection hidden="1"/>
    </xf>
    <xf numFmtId="0" fontId="46" fillId="8" borderId="0" xfId="0" applyFont="1" applyFill="1" applyBorder="1" applyAlignment="1" applyProtection="1">
      <alignment horizontal="right"/>
      <protection hidden="1"/>
    </xf>
    <xf numFmtId="0" fontId="11" fillId="8" borderId="0" xfId="0" applyFont="1" applyFill="1" applyBorder="1" applyAlignment="1" applyProtection="1">
      <alignment horizontal="left"/>
      <protection hidden="1"/>
    </xf>
    <xf numFmtId="0" fontId="47" fillId="8" borderId="0" xfId="0" applyFont="1" applyFill="1" applyBorder="1" applyAlignment="1" applyProtection="1">
      <alignment horizontal="right"/>
      <protection hidden="1"/>
    </xf>
    <xf numFmtId="0" fontId="47" fillId="8" borderId="53" xfId="0" applyFont="1" applyFill="1" applyBorder="1" applyProtection="1">
      <protection hidden="1"/>
    </xf>
    <xf numFmtId="0" fontId="47" fillId="8" borderId="0" xfId="0" applyFont="1" applyFill="1" applyBorder="1" applyProtection="1">
      <protection hidden="1"/>
    </xf>
    <xf numFmtId="0" fontId="46" fillId="8" borderId="0" xfId="0" applyFont="1" applyFill="1" applyBorder="1" applyAlignment="1" applyProtection="1">
      <alignment horizontal="right" vertical="center"/>
      <protection hidden="1"/>
    </xf>
    <xf numFmtId="0" fontId="2" fillId="8" borderId="0" xfId="0" applyFont="1" applyFill="1" applyBorder="1" applyAlignment="1" applyProtection="1">
      <alignment horizontal="right"/>
      <protection hidden="1"/>
    </xf>
    <xf numFmtId="0" fontId="48" fillId="8" borderId="0" xfId="0" applyFont="1" applyFill="1" applyBorder="1" applyAlignment="1" applyProtection="1">
      <alignment horizontal="right"/>
      <protection hidden="1"/>
    </xf>
    <xf numFmtId="0" fontId="46" fillId="8" borderId="0" xfId="0" applyFont="1" applyFill="1" applyBorder="1" applyAlignment="1" applyProtection="1">
      <alignment horizontal="left"/>
      <protection hidden="1"/>
    </xf>
    <xf numFmtId="0" fontId="37" fillId="8" borderId="0" xfId="0" applyFont="1" applyFill="1" applyBorder="1" applyAlignment="1" applyProtection="1">
      <alignment horizontal="left"/>
      <protection hidden="1"/>
    </xf>
    <xf numFmtId="0" fontId="49" fillId="8" borderId="0" xfId="0" applyFont="1" applyFill="1" applyBorder="1" applyAlignment="1" applyProtection="1">
      <alignment horizontal="right" vertical="center"/>
      <protection hidden="1"/>
    </xf>
    <xf numFmtId="0" fontId="31" fillId="8" borderId="0" xfId="0" applyFont="1" applyFill="1" applyBorder="1" applyAlignment="1" applyProtection="1">
      <alignment horizontal="center"/>
      <protection hidden="1"/>
    </xf>
    <xf numFmtId="0" fontId="31" fillId="19" borderId="49" xfId="0" applyFont="1" applyFill="1" applyBorder="1" applyProtection="1">
      <protection hidden="1"/>
    </xf>
    <xf numFmtId="3" fontId="0" fillId="0" borderId="0" xfId="0" applyNumberFormat="1" applyAlignment="1">
      <alignment horizontal="center" wrapText="1"/>
    </xf>
    <xf numFmtId="0" fontId="0" fillId="0" borderId="0" xfId="0" applyAlignment="1">
      <alignment wrapText="1"/>
    </xf>
    <xf numFmtId="0" fontId="31" fillId="19" borderId="77" xfId="0" applyFont="1" applyFill="1" applyBorder="1" applyProtection="1">
      <protection hidden="1"/>
    </xf>
    <xf numFmtId="0" fontId="7" fillId="27" borderId="0" xfId="0" applyFont="1" applyFill="1" applyBorder="1" applyProtection="1">
      <protection hidden="1"/>
    </xf>
    <xf numFmtId="0" fontId="14" fillId="27" borderId="0" xfId="0" applyFont="1" applyFill="1" applyBorder="1" applyProtection="1">
      <protection hidden="1"/>
    </xf>
    <xf numFmtId="0" fontId="7" fillId="27" borderId="54" xfId="0" applyFont="1" applyFill="1" applyBorder="1" applyProtection="1">
      <protection hidden="1"/>
    </xf>
    <xf numFmtId="0" fontId="44" fillId="27" borderId="0" xfId="0" applyFont="1" applyFill="1" applyBorder="1" applyAlignment="1" applyProtection="1">
      <alignment horizontal="center" vertical="center" wrapText="1"/>
      <protection hidden="1"/>
    </xf>
    <xf numFmtId="0" fontId="0" fillId="27" borderId="0" xfId="0" applyFill="1" applyProtection="1">
      <protection hidden="1"/>
    </xf>
    <xf numFmtId="0" fontId="11" fillId="27" borderId="0" xfId="0" applyFont="1" applyFill="1" applyBorder="1" applyAlignment="1" applyProtection="1">
      <alignment horizontal="right"/>
      <protection hidden="1"/>
    </xf>
    <xf numFmtId="0" fontId="11" fillId="27" borderId="54" xfId="0" applyFont="1" applyFill="1" applyBorder="1" applyAlignment="1" applyProtection="1">
      <alignment horizontal="right"/>
      <protection hidden="1"/>
    </xf>
    <xf numFmtId="0" fontId="4" fillId="27" borderId="0" xfId="0" applyFont="1" applyFill="1" applyBorder="1" applyAlignment="1" applyProtection="1">
      <alignment vertical="center"/>
      <protection hidden="1"/>
    </xf>
    <xf numFmtId="0" fontId="11" fillId="27" borderId="53" xfId="0" applyFont="1" applyFill="1" applyBorder="1" applyAlignment="1" applyProtection="1">
      <alignment horizontal="right"/>
      <protection hidden="1"/>
    </xf>
    <xf numFmtId="0" fontId="11" fillId="27" borderId="0" xfId="0" applyFont="1" applyFill="1" applyBorder="1" applyAlignment="1" applyProtection="1">
      <alignment horizontal="left"/>
      <protection hidden="1"/>
    </xf>
    <xf numFmtId="0" fontId="20" fillId="27" borderId="0" xfId="0" applyFont="1" applyFill="1" applyBorder="1" applyAlignment="1" applyProtection="1">
      <alignment horizontal="right" vertical="center"/>
      <protection hidden="1"/>
    </xf>
    <xf numFmtId="0" fontId="12" fillId="10" borderId="21" xfId="0" applyFont="1" applyFill="1" applyBorder="1" applyAlignment="1" applyProtection="1">
      <alignment horizontal="center"/>
      <protection hidden="1"/>
    </xf>
    <xf numFmtId="0" fontId="12" fillId="10" borderId="22" xfId="0" applyFont="1" applyFill="1" applyBorder="1" applyAlignment="1" applyProtection="1">
      <alignment horizontal="center"/>
      <protection hidden="1"/>
    </xf>
    <xf numFmtId="0" fontId="12" fillId="10" borderId="23" xfId="0" applyFont="1" applyFill="1" applyBorder="1" applyAlignment="1" applyProtection="1">
      <alignment horizontal="center"/>
      <protection hidden="1"/>
    </xf>
    <xf numFmtId="0" fontId="0" fillId="28" borderId="5" xfId="0" applyFill="1" applyBorder="1"/>
    <xf numFmtId="0" fontId="0" fillId="28" borderId="6" xfId="0" applyFill="1" applyBorder="1"/>
    <xf numFmtId="0" fontId="0" fillId="28" borderId="7" xfId="0" applyFill="1" applyBorder="1"/>
    <xf numFmtId="0" fontId="0" fillId="9" borderId="6" xfId="0" applyFill="1" applyBorder="1"/>
    <xf numFmtId="0" fontId="0" fillId="9" borderId="7" xfId="0" applyFill="1" applyBorder="1"/>
    <xf numFmtId="0" fontId="0" fillId="0" borderId="11" xfId="0" applyFill="1" applyBorder="1" applyAlignment="1">
      <alignment horizontal="center"/>
    </xf>
    <xf numFmtId="0" fontId="0" fillId="0" borderId="8" xfId="0" applyFill="1" applyBorder="1" applyAlignment="1">
      <alignment horizontal="center"/>
    </xf>
    <xf numFmtId="0" fontId="0" fillId="0" borderId="9" xfId="0" applyFill="1" applyBorder="1"/>
    <xf numFmtId="0" fontId="0" fillId="0" borderId="13" xfId="0" applyFill="1" applyBorder="1" applyAlignment="1">
      <alignment horizontal="center"/>
    </xf>
    <xf numFmtId="0" fontId="0" fillId="0" borderId="14" xfId="0" applyFill="1" applyBorder="1"/>
    <xf numFmtId="0" fontId="0" fillId="9" borderId="5" xfId="0" applyFill="1" applyBorder="1"/>
    <xf numFmtId="0" fontId="0" fillId="0" borderId="7" xfId="0" applyFill="1" applyBorder="1"/>
    <xf numFmtId="0" fontId="0" fillId="0" borderId="12" xfId="0" applyFill="1" applyBorder="1"/>
    <xf numFmtId="0" fontId="0" fillId="0" borderId="7" xfId="0" applyBorder="1"/>
    <xf numFmtId="0" fontId="0" fillId="0" borderId="10" xfId="0" quotePrefix="1" applyFill="1" applyBorder="1" applyAlignment="1">
      <alignment horizontal="center"/>
    </xf>
    <xf numFmtId="164" fontId="0" fillId="0" borderId="11" xfId="2" applyNumberFormat="1" applyFont="1" applyBorder="1"/>
    <xf numFmtId="164" fontId="0" fillId="0" borderId="19" xfId="2" applyNumberFormat="1" applyFont="1" applyFill="1" applyBorder="1"/>
    <xf numFmtId="164" fontId="0" fillId="0" borderId="8" xfId="2" applyNumberFormat="1" applyFont="1" applyBorder="1"/>
    <xf numFmtId="164" fontId="0" fillId="0" borderId="0" xfId="2" applyNumberFormat="1" applyFont="1" applyFill="1" applyBorder="1"/>
    <xf numFmtId="164" fontId="0" fillId="0" borderId="13" xfId="2" applyNumberFormat="1" applyFont="1" applyBorder="1"/>
    <xf numFmtId="164" fontId="0" fillId="0" borderId="20" xfId="2" applyNumberFormat="1" applyFont="1" applyFill="1" applyBorder="1"/>
    <xf numFmtId="164" fontId="0" fillId="0" borderId="13" xfId="2" applyNumberFormat="1" applyFont="1" applyFill="1" applyBorder="1" applyAlignment="1">
      <alignment horizontal="center"/>
    </xf>
    <xf numFmtId="164" fontId="0" fillId="0" borderId="5" xfId="2" applyNumberFormat="1" applyFont="1" applyBorder="1"/>
    <xf numFmtId="164" fontId="0" fillId="0" borderId="6" xfId="2" applyNumberFormat="1" applyFont="1" applyBorder="1"/>
    <xf numFmtId="43" fontId="0" fillId="0" borderId="0" xfId="2" applyNumberFormat="1" applyFont="1" applyFill="1" applyBorder="1"/>
    <xf numFmtId="169" fontId="0" fillId="0" borderId="0" xfId="2" applyNumberFormat="1" applyFont="1" applyFill="1" applyBorder="1"/>
    <xf numFmtId="0" fontId="0" fillId="23" borderId="0" xfId="0" applyFill="1"/>
    <xf numFmtId="0" fontId="0" fillId="30" borderId="0" xfId="0" applyFill="1"/>
    <xf numFmtId="0" fontId="2" fillId="23" borderId="0" xfId="0" applyFont="1" applyFill="1" applyBorder="1"/>
    <xf numFmtId="0" fontId="0" fillId="0" borderId="0" xfId="0" applyAlignment="1">
      <alignment horizontal="center" wrapText="1"/>
    </xf>
    <xf numFmtId="0" fontId="0" fillId="30" borderId="0" xfId="0" applyFill="1" applyAlignment="1">
      <alignment horizontal="center" wrapText="1"/>
    </xf>
    <xf numFmtId="14" fontId="0" fillId="30" borderId="0" xfId="0" applyNumberFormat="1" applyFill="1"/>
    <xf numFmtId="14" fontId="0" fillId="0" borderId="0" xfId="0" applyNumberFormat="1" applyFill="1"/>
    <xf numFmtId="164" fontId="0" fillId="0" borderId="0" xfId="2" applyNumberFormat="1" applyFont="1" applyAlignment="1">
      <alignment horizontal="center"/>
    </xf>
    <xf numFmtId="164" fontId="7" fillId="2" borderId="0" xfId="2" applyNumberFormat="1" applyFont="1" applyFill="1" applyProtection="1">
      <protection hidden="1"/>
    </xf>
    <xf numFmtId="0" fontId="0" fillId="27" borderId="0" xfId="0" applyFill="1"/>
    <xf numFmtId="0" fontId="19" fillId="23" borderId="0" xfId="0" applyFont="1" applyFill="1" applyBorder="1" applyAlignment="1">
      <alignment horizontal="center" vertical="center"/>
    </xf>
    <xf numFmtId="0" fontId="28" fillId="0" borderId="0" xfId="0" applyFont="1" applyFill="1" applyAlignment="1">
      <alignment horizontal="center"/>
    </xf>
    <xf numFmtId="0" fontId="40" fillId="25" borderId="0" xfId="0" applyFont="1" applyFill="1" applyBorder="1" applyAlignment="1">
      <alignment horizontal="left" vertical="top" wrapText="1"/>
    </xf>
    <xf numFmtId="16" fontId="40" fillId="25" borderId="0" xfId="0" quotePrefix="1" applyNumberFormat="1" applyFont="1" applyFill="1" applyBorder="1" applyAlignment="1">
      <alignment horizontal="left" vertical="top" wrapText="1"/>
    </xf>
    <xf numFmtId="0" fontId="0" fillId="0" borderId="0" xfId="0" quotePrefix="1" applyAlignment="1">
      <alignment horizontal="right"/>
    </xf>
    <xf numFmtId="0" fontId="0" fillId="0" borderId="0" xfId="0" applyFill="1"/>
    <xf numFmtId="0" fontId="40" fillId="25" borderId="82" xfId="0" applyFont="1" applyFill="1" applyBorder="1" applyAlignment="1">
      <alignment horizontal="center" vertical="center" wrapText="1"/>
    </xf>
    <xf numFmtId="0" fontId="40" fillId="25" borderId="97" xfId="0" applyFont="1" applyFill="1" applyBorder="1" applyAlignment="1">
      <alignment horizontal="left" vertical="top" wrapText="1"/>
    </xf>
    <xf numFmtId="0" fontId="40" fillId="25" borderId="98" xfId="0" applyFont="1" applyFill="1" applyBorder="1" applyAlignment="1">
      <alignment horizontal="left" vertical="top" wrapText="1"/>
    </xf>
    <xf numFmtId="0" fontId="40" fillId="25" borderId="99" xfId="0" applyFont="1" applyFill="1" applyBorder="1" applyAlignment="1">
      <alignment horizontal="left" vertical="top" wrapText="1"/>
    </xf>
    <xf numFmtId="9" fontId="0" fillId="30" borderId="0" xfId="0" applyNumberFormat="1" applyFill="1"/>
    <xf numFmtId="9" fontId="0" fillId="31" borderId="0" xfId="1" applyFont="1" applyFill="1"/>
    <xf numFmtId="170" fontId="0" fillId="0" borderId="0" xfId="1" applyNumberFormat="1" applyFont="1"/>
    <xf numFmtId="0" fontId="40" fillId="25" borderId="82" xfId="0" applyFont="1" applyFill="1" applyBorder="1" applyAlignment="1">
      <alignment horizontal="center" vertical="center" wrapText="1"/>
    </xf>
    <xf numFmtId="0" fontId="40" fillId="25" borderId="83" xfId="0" applyFont="1" applyFill="1" applyBorder="1" applyAlignment="1">
      <alignment horizontal="center" vertical="center" wrapText="1"/>
    </xf>
    <xf numFmtId="0" fontId="40" fillId="0" borderId="0" xfId="0" applyFont="1" applyFill="1" applyBorder="1" applyAlignment="1">
      <alignment horizontal="left" wrapText="1"/>
    </xf>
    <xf numFmtId="0" fontId="40" fillId="0" borderId="0" xfId="0" applyFont="1" applyFill="1" applyBorder="1" applyAlignment="1">
      <alignment horizontal="right" wrapText="1"/>
    </xf>
    <xf numFmtId="0" fontId="42" fillId="0" borderId="0" xfId="0" applyFont="1" applyFill="1" applyBorder="1" applyAlignment="1">
      <alignment horizontal="left" vertical="center" wrapText="1"/>
    </xf>
    <xf numFmtId="0" fontId="42" fillId="0" borderId="0" xfId="0" applyFont="1" applyFill="1" applyBorder="1" applyAlignment="1">
      <alignment horizontal="right" vertical="center" wrapText="1"/>
    </xf>
    <xf numFmtId="9" fontId="42" fillId="3" borderId="90" xfId="1" applyFont="1" applyFill="1" applyBorder="1" applyAlignment="1">
      <alignment horizontal="right" vertical="center" wrapText="1"/>
    </xf>
    <xf numFmtId="9" fontId="42" fillId="3" borderId="0" xfId="1" applyFont="1" applyFill="1" applyBorder="1" applyAlignment="1">
      <alignment horizontal="right" vertical="center" wrapText="1"/>
    </xf>
    <xf numFmtId="0" fontId="40" fillId="25" borderId="80" xfId="0" applyFont="1" applyFill="1" applyBorder="1" applyAlignment="1">
      <alignment horizontal="left" vertical="top" wrapText="1"/>
    </xf>
    <xf numFmtId="9" fontId="41" fillId="9" borderId="0" xfId="1" applyFont="1" applyFill="1" applyBorder="1" applyAlignment="1">
      <alignment horizontal="right"/>
    </xf>
    <xf numFmtId="9" fontId="0" fillId="9" borderId="0" xfId="1" applyFont="1" applyFill="1"/>
    <xf numFmtId="0" fontId="40" fillId="25" borderId="0" xfId="0" applyFont="1" applyFill="1" applyBorder="1" applyAlignment="1">
      <alignment horizontal="center" vertical="center" wrapText="1"/>
    </xf>
    <xf numFmtId="0" fontId="16" fillId="17" borderId="0" xfId="0" applyFont="1" applyFill="1" applyBorder="1" applyAlignment="1">
      <alignment horizontal="center"/>
    </xf>
    <xf numFmtId="0" fontId="40" fillId="25" borderId="81" xfId="0" applyFont="1" applyFill="1" applyBorder="1" applyAlignment="1">
      <alignment horizontal="center" vertical="center" wrapText="1"/>
    </xf>
    <xf numFmtId="0" fontId="40" fillId="25" borderId="83" xfId="0" applyFont="1" applyFill="1" applyBorder="1" applyAlignment="1">
      <alignment horizontal="center" vertical="center" wrapText="1"/>
    </xf>
    <xf numFmtId="0" fontId="40" fillId="25" borderId="82" xfId="0" applyFont="1" applyFill="1" applyBorder="1" applyAlignment="1">
      <alignment horizontal="center" vertical="center" wrapText="1"/>
    </xf>
    <xf numFmtId="0" fontId="40" fillId="25" borderId="97" xfId="0" applyFont="1" applyFill="1" applyBorder="1" applyAlignment="1">
      <alignment horizontal="left" vertical="top" wrapText="1"/>
    </xf>
    <xf numFmtId="0" fontId="40" fillId="25" borderId="84" xfId="0" applyFont="1" applyFill="1" applyBorder="1" applyAlignment="1">
      <alignment horizontal="left" vertical="top" wrapText="1"/>
    </xf>
    <xf numFmtId="0" fontId="40" fillId="25" borderId="98" xfId="0" applyFont="1" applyFill="1" applyBorder="1" applyAlignment="1">
      <alignment horizontal="left" vertical="top" wrapText="1"/>
    </xf>
    <xf numFmtId="0" fontId="40" fillId="25" borderId="85" xfId="0" applyFont="1" applyFill="1" applyBorder="1" applyAlignment="1">
      <alignment horizontal="left" vertical="top" wrapText="1"/>
    </xf>
    <xf numFmtId="0" fontId="40" fillId="25" borderId="99" xfId="0" applyFont="1" applyFill="1" applyBorder="1" applyAlignment="1">
      <alignment horizontal="left" vertical="top" wrapText="1"/>
    </xf>
    <xf numFmtId="3" fontId="43" fillId="0" borderId="0" xfId="0" applyNumberFormat="1" applyFont="1"/>
    <xf numFmtId="9" fontId="43" fillId="0" borderId="0" xfId="1" applyFont="1" applyFill="1" applyBorder="1"/>
    <xf numFmtId="0" fontId="0" fillId="0" borderId="10" xfId="0" applyBorder="1"/>
    <xf numFmtId="0" fontId="3" fillId="0" borderId="19" xfId="0" applyFont="1" applyBorder="1" applyAlignment="1">
      <alignment horizontal="center"/>
    </xf>
    <xf numFmtId="0" fontId="0" fillId="32" borderId="102" xfId="0" applyFill="1" applyBorder="1" applyAlignment="1">
      <alignment horizontal="left" vertical="center"/>
    </xf>
    <xf numFmtId="0" fontId="54" fillId="32" borderId="101" xfId="0" applyFont="1" applyFill="1" applyBorder="1" applyAlignment="1">
      <alignment horizontal="left" vertical="center"/>
    </xf>
    <xf numFmtId="0" fontId="54" fillId="32" borderId="102" xfId="0" applyFont="1" applyFill="1" applyBorder="1" applyAlignment="1">
      <alignment horizontal="left" vertical="center" wrapText="1"/>
    </xf>
    <xf numFmtId="0" fontId="55" fillId="32" borderId="101" xfId="0" applyFont="1" applyFill="1" applyBorder="1" applyAlignment="1">
      <alignment horizontal="right" vertical="center"/>
    </xf>
    <xf numFmtId="0" fontId="56" fillId="0" borderId="101" xfId="0" applyFont="1" applyBorder="1" applyAlignment="1">
      <alignment vertical="center"/>
    </xf>
    <xf numFmtId="0" fontId="56" fillId="0" borderId="101" xfId="0" applyFont="1" applyBorder="1" applyAlignment="1">
      <alignment horizontal="right" vertical="center"/>
    </xf>
    <xf numFmtId="0" fontId="54" fillId="32" borderId="103" xfId="0" applyFont="1" applyFill="1" applyBorder="1" applyAlignment="1">
      <alignment vertical="center"/>
    </xf>
    <xf numFmtId="0" fontId="54" fillId="32" borderId="104" xfId="0" applyFont="1" applyFill="1" applyBorder="1" applyAlignment="1">
      <alignment vertical="center"/>
    </xf>
    <xf numFmtId="0" fontId="3" fillId="0" borderId="0" xfId="0" applyFont="1" applyBorder="1" applyAlignment="1">
      <alignment horizontal="center"/>
    </xf>
    <xf numFmtId="0" fontId="0" fillId="5" borderId="20" xfId="0" applyFill="1" applyBorder="1" applyAlignment="1">
      <alignment horizontal="center"/>
    </xf>
    <xf numFmtId="164" fontId="0" fillId="0" borderId="19" xfId="2" applyNumberFormat="1" applyFont="1" applyBorder="1"/>
    <xf numFmtId="164" fontId="0" fillId="0" borderId="0" xfId="2" applyNumberFormat="1" applyFont="1" applyBorder="1"/>
    <xf numFmtId="164" fontId="0" fillId="0" borderId="20" xfId="2" applyNumberFormat="1" applyFont="1" applyBorder="1"/>
    <xf numFmtId="164" fontId="0" fillId="0" borderId="20" xfId="2" applyNumberFormat="1" applyFont="1" applyFill="1" applyBorder="1" applyAlignment="1">
      <alignment horizontal="center"/>
    </xf>
    <xf numFmtId="3" fontId="11" fillId="27" borderId="0" xfId="0" applyNumberFormat="1" applyFont="1" applyFill="1" applyBorder="1" applyAlignment="1" applyProtection="1">
      <protection hidden="1"/>
    </xf>
    <xf numFmtId="1" fontId="11" fillId="27" borderId="41" xfId="2" applyNumberFormat="1" applyFont="1" applyFill="1" applyBorder="1" applyAlignment="1" applyProtection="1">
      <alignment horizontal="center" wrapText="1"/>
      <protection hidden="1"/>
    </xf>
    <xf numFmtId="1" fontId="11" fillId="27" borderId="70" xfId="2" applyNumberFormat="1" applyFont="1" applyFill="1" applyBorder="1" applyAlignment="1" applyProtection="1">
      <alignment horizontal="center" wrapText="1"/>
      <protection hidden="1"/>
    </xf>
    <xf numFmtId="1" fontId="11" fillId="27" borderId="71" xfId="2" applyNumberFormat="1" applyFont="1" applyFill="1" applyBorder="1" applyAlignment="1" applyProtection="1">
      <alignment horizontal="center" wrapText="1"/>
      <protection hidden="1"/>
    </xf>
    <xf numFmtId="9" fontId="12" fillId="2" borderId="74" xfId="1" applyFont="1" applyFill="1" applyBorder="1" applyAlignment="1" applyProtection="1">
      <alignment horizontal="center" vertical="center"/>
      <protection hidden="1"/>
    </xf>
    <xf numFmtId="9" fontId="12" fillId="2" borderId="37" xfId="1" applyFont="1" applyFill="1" applyBorder="1" applyAlignment="1" applyProtection="1">
      <alignment horizontal="center" vertical="center"/>
      <protection hidden="1"/>
    </xf>
    <xf numFmtId="9" fontId="12" fillId="2" borderId="75" xfId="1" applyFont="1" applyFill="1" applyBorder="1" applyAlignment="1" applyProtection="1">
      <alignment horizontal="center" vertical="center"/>
      <protection hidden="1"/>
    </xf>
    <xf numFmtId="0" fontId="58" fillId="23" borderId="0" xfId="0" applyFont="1" applyFill="1"/>
    <xf numFmtId="0" fontId="45" fillId="23" borderId="0" xfId="0" applyFont="1" applyFill="1" applyBorder="1" applyAlignment="1" applyProtection="1">
      <alignment horizontal="right"/>
      <protection hidden="1"/>
    </xf>
    <xf numFmtId="0" fontId="60" fillId="29" borderId="0" xfId="0" applyNumberFormat="1" applyFont="1" applyFill="1" applyBorder="1" applyAlignment="1" applyProtection="1">
      <alignment horizontal="center"/>
      <protection hidden="1"/>
    </xf>
    <xf numFmtId="0" fontId="61" fillId="23" borderId="0" xfId="0" applyFont="1" applyFill="1"/>
    <xf numFmtId="0" fontId="63" fillId="23" borderId="0" xfId="0" applyFont="1" applyFill="1" applyBorder="1" applyAlignment="1" applyProtection="1">
      <alignment horizontal="center"/>
      <protection hidden="1"/>
    </xf>
    <xf numFmtId="167" fontId="64" fillId="29" borderId="0" xfId="0" applyNumberFormat="1" applyFont="1" applyFill="1" applyBorder="1" applyAlignment="1" applyProtection="1">
      <alignment horizontal="center"/>
      <protection hidden="1"/>
    </xf>
    <xf numFmtId="0" fontId="65" fillId="29" borderId="0" xfId="0" applyNumberFormat="1" applyFont="1" applyFill="1" applyBorder="1" applyAlignment="1" applyProtection="1">
      <alignment horizontal="center"/>
      <protection hidden="1"/>
    </xf>
    <xf numFmtId="0" fontId="3" fillId="0" borderId="19" xfId="0" applyFont="1" applyBorder="1" applyAlignment="1">
      <alignment horizontal="center"/>
    </xf>
    <xf numFmtId="0" fontId="67" fillId="8" borderId="0" xfId="0" applyFont="1" applyFill="1" applyBorder="1" applyAlignment="1" applyProtection="1">
      <alignment horizontal="right" vertical="center"/>
      <protection hidden="1"/>
    </xf>
    <xf numFmtId="0" fontId="68" fillId="8" borderId="0" xfId="0" applyFont="1" applyFill="1" applyBorder="1" applyAlignment="1" applyProtection="1">
      <alignment horizontal="right" vertical="center"/>
      <protection hidden="1"/>
    </xf>
    <xf numFmtId="0" fontId="69" fillId="27" borderId="0" xfId="0" applyFont="1" applyFill="1" applyBorder="1" applyAlignment="1" applyProtection="1">
      <alignment horizontal="right" vertical="center"/>
      <protection hidden="1"/>
    </xf>
    <xf numFmtId="0" fontId="70" fillId="27" borderId="0" xfId="0" applyFont="1" applyFill="1" applyBorder="1" applyAlignment="1" applyProtection="1">
      <alignment horizontal="right" vertical="center"/>
      <protection hidden="1"/>
    </xf>
    <xf numFmtId="0" fontId="71" fillId="8" borderId="0" xfId="0" applyFont="1" applyFill="1" applyBorder="1" applyAlignment="1" applyProtection="1">
      <alignment horizontal="right"/>
      <protection hidden="1"/>
    </xf>
    <xf numFmtId="0" fontId="72" fillId="8" borderId="0" xfId="0" applyFont="1" applyFill="1" applyBorder="1" applyProtection="1">
      <protection hidden="1"/>
    </xf>
    <xf numFmtId="0" fontId="0" fillId="0" borderId="19" xfId="0" applyFont="1" applyBorder="1" applyAlignment="1">
      <alignment horizontal="center"/>
    </xf>
    <xf numFmtId="0" fontId="0" fillId="0" borderId="0" xfId="0" applyFont="1" applyBorder="1" applyAlignment="1">
      <alignment horizontal="center"/>
    </xf>
    <xf numFmtId="171" fontId="0" fillId="0" borderId="10" xfId="1" applyNumberFormat="1" applyFont="1" applyBorder="1"/>
    <xf numFmtId="0" fontId="62" fillId="23" borderId="0" xfId="0" applyFont="1" applyFill="1" applyBorder="1" applyAlignment="1" applyProtection="1">
      <protection hidden="1"/>
    </xf>
    <xf numFmtId="0" fontId="0" fillId="13" borderId="0" xfId="0" applyFill="1" applyBorder="1" applyProtection="1">
      <protection hidden="1"/>
    </xf>
    <xf numFmtId="0" fontId="14" fillId="13" borderId="0" xfId="0" applyFont="1" applyFill="1" applyBorder="1" applyProtection="1">
      <protection hidden="1"/>
    </xf>
    <xf numFmtId="0" fontId="11" fillId="27" borderId="0" xfId="0" applyFont="1" applyFill="1" applyBorder="1" applyAlignment="1" applyProtection="1">
      <alignment vertical="center" wrapText="1"/>
      <protection hidden="1"/>
    </xf>
    <xf numFmtId="0" fontId="44" fillId="27" borderId="0" xfId="0" applyFont="1" applyFill="1" applyBorder="1" applyAlignment="1" applyProtection="1">
      <alignment vertical="center" wrapText="1"/>
      <protection hidden="1"/>
    </xf>
    <xf numFmtId="0" fontId="11" fillId="27" borderId="108" xfId="0" applyFont="1" applyFill="1" applyBorder="1" applyAlignment="1" applyProtection="1">
      <alignment horizontal="center" vertical="center"/>
      <protection hidden="1"/>
    </xf>
    <xf numFmtId="0" fontId="0" fillId="13" borderId="63" xfId="0" applyFill="1" applyBorder="1" applyProtection="1">
      <protection hidden="1"/>
    </xf>
    <xf numFmtId="0" fontId="0" fillId="13" borderId="107" xfId="0" applyFill="1" applyBorder="1" applyProtection="1">
      <protection hidden="1"/>
    </xf>
    <xf numFmtId="0" fontId="0" fillId="13" borderId="1" xfId="0" applyFill="1" applyBorder="1" applyProtection="1">
      <protection hidden="1"/>
    </xf>
    <xf numFmtId="0" fontId="0" fillId="13" borderId="2" xfId="0" applyFill="1" applyBorder="1" applyProtection="1">
      <protection hidden="1"/>
    </xf>
    <xf numFmtId="0" fontId="14" fillId="13" borderId="2" xfId="0" applyFont="1" applyFill="1" applyBorder="1" applyProtection="1">
      <protection hidden="1"/>
    </xf>
    <xf numFmtId="0" fontId="4" fillId="13" borderId="109" xfId="0" applyFont="1" applyFill="1" applyBorder="1" applyProtection="1">
      <protection hidden="1"/>
    </xf>
    <xf numFmtId="0" fontId="7" fillId="13" borderId="109" xfId="0" applyFont="1" applyFill="1" applyBorder="1" applyProtection="1">
      <protection hidden="1"/>
    </xf>
    <xf numFmtId="0" fontId="14" fillId="13" borderId="96" xfId="0" applyFont="1" applyFill="1" applyBorder="1" applyProtection="1">
      <protection hidden="1"/>
    </xf>
    <xf numFmtId="0" fontId="14" fillId="13" borderId="109" xfId="0" applyFont="1" applyFill="1" applyBorder="1" applyProtection="1">
      <protection hidden="1"/>
    </xf>
    <xf numFmtId="0" fontId="31" fillId="13" borderId="64" xfId="0" applyFont="1" applyFill="1" applyBorder="1" applyAlignment="1" applyProtection="1">
      <protection hidden="1"/>
    </xf>
    <xf numFmtId="0" fontId="52" fillId="13" borderId="1" xfId="0" applyFont="1" applyFill="1" applyBorder="1" applyAlignment="1" applyProtection="1">
      <alignment vertical="center" wrapText="1"/>
      <protection hidden="1"/>
    </xf>
    <xf numFmtId="0" fontId="11" fillId="13" borderId="1" xfId="0" applyFont="1" applyFill="1" applyBorder="1" applyAlignment="1" applyProtection="1">
      <alignment vertical="center" wrapText="1"/>
      <protection hidden="1"/>
    </xf>
    <xf numFmtId="0" fontId="11" fillId="13" borderId="3" xfId="0" applyFont="1" applyFill="1" applyBorder="1" applyAlignment="1" applyProtection="1">
      <alignment vertical="center" wrapText="1"/>
      <protection hidden="1"/>
    </xf>
    <xf numFmtId="0" fontId="69" fillId="13" borderId="0" xfId="0" applyFont="1" applyFill="1" applyBorder="1" applyAlignment="1" applyProtection="1">
      <alignment vertical="center"/>
      <protection hidden="1"/>
    </xf>
    <xf numFmtId="0" fontId="69" fillId="13" borderId="0" xfId="0" applyFont="1" applyFill="1" applyBorder="1" applyAlignment="1" applyProtection="1">
      <alignment horizontal="right" vertical="center"/>
      <protection hidden="1"/>
    </xf>
    <xf numFmtId="0" fontId="31" fillId="27" borderId="0" xfId="0" applyFont="1" applyFill="1" applyBorder="1" applyAlignment="1" applyProtection="1">
      <alignment horizontal="right" vertical="center"/>
      <protection hidden="1"/>
    </xf>
    <xf numFmtId="0" fontId="74" fillId="27" borderId="0" xfId="0" applyFont="1" applyFill="1" applyBorder="1" applyAlignment="1" applyProtection="1">
      <alignment horizontal="right" vertical="center"/>
      <protection hidden="1"/>
    </xf>
    <xf numFmtId="0" fontId="76" fillId="27" borderId="0" xfId="0" applyFont="1" applyFill="1" applyBorder="1" applyAlignment="1" applyProtection="1">
      <alignment horizontal="left"/>
      <protection hidden="1"/>
    </xf>
    <xf numFmtId="0" fontId="78" fillId="8" borderId="0" xfId="0" applyFont="1" applyFill="1" applyBorder="1" applyProtection="1">
      <protection hidden="1"/>
    </xf>
    <xf numFmtId="0" fontId="71" fillId="8" borderId="0" xfId="0" applyFont="1" applyFill="1" applyBorder="1" applyProtection="1">
      <protection hidden="1"/>
    </xf>
    <xf numFmtId="0" fontId="77" fillId="8" borderId="0" xfId="0" applyFont="1" applyFill="1" applyBorder="1" applyProtection="1">
      <protection hidden="1"/>
    </xf>
    <xf numFmtId="0" fontId="80" fillId="27" borderId="63" xfId="0" applyFont="1" applyFill="1" applyBorder="1" applyProtection="1">
      <protection hidden="1"/>
    </xf>
    <xf numFmtId="0" fontId="80" fillId="27" borderId="107" xfId="0" applyFont="1" applyFill="1" applyBorder="1" applyProtection="1">
      <protection hidden="1"/>
    </xf>
    <xf numFmtId="0" fontId="79" fillId="27" borderId="64" xfId="0" applyFont="1" applyFill="1" applyBorder="1" applyAlignment="1" applyProtection="1">
      <alignment horizontal="left" vertical="center"/>
      <protection hidden="1"/>
    </xf>
    <xf numFmtId="0" fontId="81" fillId="8" borderId="0" xfId="0" applyFont="1" applyFill="1" applyBorder="1" applyAlignment="1" applyProtection="1">
      <alignment vertical="center" wrapText="1"/>
      <protection hidden="1"/>
    </xf>
    <xf numFmtId="0" fontId="72" fillId="8" borderId="0" xfId="0" applyFont="1" applyFill="1" applyBorder="1" applyAlignment="1" applyProtection="1">
      <protection hidden="1"/>
    </xf>
    <xf numFmtId="0" fontId="81" fillId="8" borderId="53" xfId="0" applyFont="1" applyFill="1" applyBorder="1" applyAlignment="1" applyProtection="1">
      <alignment vertical="center" wrapText="1"/>
      <protection hidden="1"/>
    </xf>
    <xf numFmtId="0" fontId="46" fillId="8" borderId="0" xfId="0" applyFont="1" applyFill="1" applyBorder="1" applyAlignment="1" applyProtection="1">
      <protection hidden="1"/>
    </xf>
    <xf numFmtId="0" fontId="54" fillId="32" borderId="0" xfId="0" applyFont="1" applyFill="1" applyBorder="1" applyAlignment="1">
      <alignment horizontal="left" vertical="center" wrapText="1"/>
    </xf>
    <xf numFmtId="0" fontId="82" fillId="8" borderId="0" xfId="0" applyFont="1" applyFill="1" applyBorder="1" applyAlignment="1" applyProtection="1">
      <alignment horizontal="right" vertical="center"/>
      <protection hidden="1"/>
    </xf>
    <xf numFmtId="0" fontId="31" fillId="8" borderId="0" xfId="0" applyFont="1" applyFill="1" applyBorder="1" applyAlignment="1" applyProtection="1">
      <alignment horizontal="right" vertical="center"/>
      <protection hidden="1"/>
    </xf>
    <xf numFmtId="0" fontId="31" fillId="8" borderId="0" xfId="0" applyFont="1" applyFill="1" applyBorder="1" applyProtection="1">
      <protection hidden="1"/>
    </xf>
    <xf numFmtId="0" fontId="31" fillId="8" borderId="0" xfId="0" applyFont="1" applyFill="1" applyBorder="1" applyAlignment="1" applyProtection="1">
      <alignment horizontal="right"/>
      <protection hidden="1"/>
    </xf>
    <xf numFmtId="0" fontId="31" fillId="8" borderId="0" xfId="0" applyFont="1" applyFill="1" applyBorder="1" applyAlignment="1" applyProtection="1">
      <alignment horizontal="left"/>
      <protection hidden="1"/>
    </xf>
    <xf numFmtId="0" fontId="83" fillId="8" borderId="0" xfId="0" applyFont="1" applyFill="1" applyBorder="1" applyAlignment="1" applyProtection="1">
      <alignment horizontal="right"/>
      <protection hidden="1"/>
    </xf>
    <xf numFmtId="0" fontId="77" fillId="8" borderId="0" xfId="0" applyFont="1" applyFill="1" applyBorder="1" applyAlignment="1" applyProtection="1">
      <alignment wrapText="1"/>
      <protection hidden="1"/>
    </xf>
    <xf numFmtId="0" fontId="61" fillId="23" borderId="0" xfId="0" applyFont="1" applyFill="1" applyBorder="1"/>
    <xf numFmtId="0" fontId="63" fillId="23" borderId="0" xfId="0" applyFont="1" applyFill="1" applyBorder="1" applyAlignment="1">
      <alignment horizontal="center"/>
    </xf>
    <xf numFmtId="0" fontId="58" fillId="23" borderId="0" xfId="0" applyFont="1" applyFill="1" applyBorder="1"/>
    <xf numFmtId="167" fontId="59" fillId="29" borderId="0" xfId="0" applyNumberFormat="1" applyFont="1" applyFill="1" applyBorder="1" applyAlignment="1">
      <alignment horizontal="center"/>
    </xf>
    <xf numFmtId="0" fontId="53" fillId="23" borderId="0" xfId="0" applyFont="1" applyFill="1" applyBorder="1" applyAlignment="1">
      <alignment horizontal="right" wrapText="1"/>
    </xf>
    <xf numFmtId="0" fontId="0" fillId="23" borderId="64" xfId="0" applyFill="1" applyBorder="1"/>
    <xf numFmtId="0" fontId="0" fillId="23" borderId="1" xfId="0" applyFill="1" applyBorder="1"/>
    <xf numFmtId="0" fontId="0" fillId="23" borderId="2" xfId="0" applyFill="1" applyBorder="1"/>
    <xf numFmtId="0" fontId="61" fillId="23" borderId="1" xfId="0" applyFont="1" applyFill="1" applyBorder="1"/>
    <xf numFmtId="0" fontId="2" fillId="23" borderId="2" xfId="0" applyFont="1" applyFill="1" applyBorder="1" applyAlignment="1">
      <alignment wrapText="1"/>
    </xf>
    <xf numFmtId="0" fontId="0" fillId="23" borderId="3" xfId="0" applyFill="1" applyBorder="1"/>
    <xf numFmtId="0" fontId="0" fillId="23" borderId="109" xfId="0" applyFill="1" applyBorder="1"/>
    <xf numFmtId="0" fontId="2" fillId="23" borderId="96" xfId="0" applyFont="1" applyFill="1" applyBorder="1" applyAlignment="1">
      <alignment wrapText="1"/>
    </xf>
    <xf numFmtId="0" fontId="0" fillId="0" borderId="0" xfId="0" applyFont="1" applyAlignment="1">
      <alignment wrapText="1"/>
    </xf>
    <xf numFmtId="0" fontId="0" fillId="0" borderId="0" xfId="0" applyAlignment="1">
      <alignment horizontal="center" vertical="center"/>
    </xf>
    <xf numFmtId="0" fontId="0" fillId="0" borderId="19" xfId="0" applyFont="1" applyBorder="1"/>
    <xf numFmtId="0" fontId="0" fillId="0" borderId="0" xfId="0" applyFont="1" applyBorder="1"/>
    <xf numFmtId="2" fontId="0" fillId="0" borderId="0" xfId="0" applyNumberFormat="1" applyAlignment="1"/>
    <xf numFmtId="167" fontId="30" fillId="0" borderId="0" xfId="0" applyNumberFormat="1" applyFont="1"/>
    <xf numFmtId="0" fontId="3" fillId="0" borderId="0" xfId="0" applyFont="1" applyBorder="1" applyAlignment="1">
      <alignment horizontal="right"/>
    </xf>
    <xf numFmtId="2" fontId="0" fillId="0" borderId="0" xfId="0" applyNumberFormat="1" applyFill="1" applyBorder="1" applyAlignment="1">
      <alignment horizontal="right"/>
    </xf>
    <xf numFmtId="3" fontId="12" fillId="16" borderId="72" xfId="0" applyNumberFormat="1" applyFont="1" applyFill="1" applyBorder="1" applyAlignment="1" applyProtection="1">
      <alignment horizontal="center" vertical="center"/>
      <protection hidden="1"/>
    </xf>
    <xf numFmtId="3" fontId="12" fillId="16" borderId="10" xfId="0" applyNumberFormat="1" applyFont="1" applyFill="1" applyBorder="1" applyAlignment="1" applyProtection="1">
      <alignment horizontal="center" vertical="center"/>
      <protection hidden="1"/>
    </xf>
    <xf numFmtId="3" fontId="12" fillId="16" borderId="73" xfId="0" applyNumberFormat="1" applyFont="1" applyFill="1" applyBorder="1" applyAlignment="1" applyProtection="1">
      <alignment horizontal="center" vertical="center"/>
      <protection hidden="1"/>
    </xf>
    <xf numFmtId="3" fontId="12" fillId="2" borderId="72" xfId="0" applyNumberFormat="1" applyFont="1" applyFill="1" applyBorder="1" applyAlignment="1" applyProtection="1">
      <alignment horizontal="center" vertical="center"/>
      <protection hidden="1"/>
    </xf>
    <xf numFmtId="3" fontId="12" fillId="2" borderId="10" xfId="0" applyNumberFormat="1" applyFont="1" applyFill="1" applyBorder="1" applyAlignment="1" applyProtection="1">
      <alignment horizontal="center" vertical="center"/>
      <protection hidden="1"/>
    </xf>
    <xf numFmtId="3" fontId="12" fillId="2" borderId="73" xfId="0" applyNumberFormat="1" applyFont="1" applyFill="1" applyBorder="1" applyAlignment="1" applyProtection="1">
      <alignment horizontal="center" vertical="center"/>
      <protection hidden="1"/>
    </xf>
    <xf numFmtId="3" fontId="12" fillId="11" borderId="4" xfId="0" applyNumberFormat="1" applyFont="1" applyFill="1" applyBorder="1" applyAlignment="1" applyProtection="1">
      <alignment horizontal="center" vertical="center"/>
      <protection hidden="1"/>
    </xf>
    <xf numFmtId="0" fontId="11" fillId="27" borderId="0" xfId="0" applyFont="1" applyFill="1" applyBorder="1" applyAlignment="1" applyProtection="1">
      <alignment horizontal="center" vertical="center" wrapText="1"/>
      <protection hidden="1"/>
    </xf>
    <xf numFmtId="0" fontId="11" fillId="27" borderId="10" xfId="0" applyFont="1" applyFill="1" applyBorder="1" applyAlignment="1" applyProtection="1">
      <alignment horizontal="center" vertical="center"/>
      <protection hidden="1"/>
    </xf>
    <xf numFmtId="0" fontId="66" fillId="23" borderId="63" xfId="0" applyFont="1" applyFill="1" applyBorder="1" applyAlignment="1" applyProtection="1">
      <alignment horizontal="center" vertical="center"/>
      <protection hidden="1"/>
    </xf>
    <xf numFmtId="0" fontId="66" fillId="23" borderId="107" xfId="0" applyFont="1" applyFill="1" applyBorder="1" applyAlignment="1" applyProtection="1">
      <alignment horizontal="center" vertical="center"/>
      <protection hidden="1"/>
    </xf>
    <xf numFmtId="0" fontId="51" fillId="27" borderId="64" xfId="0" applyFont="1" applyFill="1" applyBorder="1" applyAlignment="1" applyProtection="1">
      <alignment horizontal="center" vertical="center"/>
      <protection hidden="1"/>
    </xf>
    <xf numFmtId="0" fontId="51" fillId="27" borderId="107" xfId="0" applyFont="1" applyFill="1" applyBorder="1" applyAlignment="1" applyProtection="1">
      <alignment horizontal="center" vertical="center"/>
      <protection hidden="1"/>
    </xf>
    <xf numFmtId="0" fontId="51" fillId="27" borderId="3" xfId="0" applyFont="1" applyFill="1" applyBorder="1" applyAlignment="1" applyProtection="1">
      <alignment horizontal="center" vertical="center"/>
      <protection hidden="1"/>
    </xf>
    <xf numFmtId="0" fontId="51" fillId="27" borderId="96" xfId="0" applyFont="1" applyFill="1" applyBorder="1" applyAlignment="1" applyProtection="1">
      <alignment horizontal="center" vertical="center"/>
      <protection hidden="1"/>
    </xf>
    <xf numFmtId="3" fontId="50" fillId="16" borderId="64" xfId="0" applyNumberFormat="1" applyFont="1" applyFill="1" applyBorder="1" applyAlignment="1" applyProtection="1">
      <alignment horizontal="center" vertical="center"/>
      <protection locked="0" hidden="1"/>
    </xf>
    <xf numFmtId="3" fontId="50" fillId="16" borderId="107" xfId="0" applyNumberFormat="1" applyFont="1" applyFill="1" applyBorder="1" applyAlignment="1" applyProtection="1">
      <alignment horizontal="center" vertical="center"/>
      <protection locked="0" hidden="1"/>
    </xf>
    <xf numFmtId="3" fontId="50" fillId="13" borderId="1" xfId="0" applyNumberFormat="1" applyFont="1" applyFill="1" applyBorder="1" applyAlignment="1" applyProtection="1">
      <alignment horizontal="center" vertical="center"/>
      <protection hidden="1"/>
    </xf>
    <xf numFmtId="3" fontId="50" fillId="13" borderId="2" xfId="0" applyNumberFormat="1" applyFont="1" applyFill="1" applyBorder="1" applyAlignment="1" applyProtection="1">
      <alignment horizontal="center" vertical="center"/>
      <protection hidden="1"/>
    </xf>
    <xf numFmtId="0" fontId="62" fillId="23" borderId="0" xfId="0" applyFont="1" applyFill="1" applyBorder="1" applyAlignment="1" applyProtection="1">
      <alignment horizontal="center"/>
      <protection hidden="1"/>
    </xf>
    <xf numFmtId="0" fontId="63" fillId="23" borderId="0" xfId="0" applyFont="1" applyFill="1" applyBorder="1" applyAlignment="1">
      <alignment horizontal="right" vertical="center" wrapText="1"/>
    </xf>
    <xf numFmtId="0" fontId="65" fillId="29" borderId="0" xfId="0" applyFont="1" applyFill="1" applyBorder="1" applyAlignment="1">
      <alignment horizontal="center" vertical="center"/>
    </xf>
    <xf numFmtId="0" fontId="62" fillId="23" borderId="2" xfId="0" applyFont="1" applyFill="1" applyBorder="1" applyAlignment="1" applyProtection="1">
      <alignment horizontal="center"/>
      <protection hidden="1"/>
    </xf>
    <xf numFmtId="0" fontId="31" fillId="13" borderId="0" xfId="0" applyFont="1" applyFill="1" applyBorder="1" applyAlignment="1" applyProtection="1">
      <alignment horizontal="right" vertical="center" wrapText="1"/>
      <protection hidden="1"/>
    </xf>
    <xf numFmtId="0" fontId="4" fillId="27" borderId="0" xfId="0" applyFont="1" applyFill="1" applyBorder="1" applyAlignment="1" applyProtection="1">
      <alignment horizontal="center" vertical="center" wrapText="1"/>
      <protection hidden="1"/>
    </xf>
    <xf numFmtId="0" fontId="45" fillId="23" borderId="0" xfId="0" applyFont="1" applyFill="1" applyBorder="1" applyAlignment="1" applyProtection="1">
      <alignment horizontal="right" vertical="center"/>
      <protection hidden="1"/>
    </xf>
    <xf numFmtId="0" fontId="66" fillId="23" borderId="0" xfId="0" applyFont="1" applyFill="1" applyBorder="1" applyAlignment="1" applyProtection="1">
      <alignment horizontal="center" vertical="center"/>
      <protection hidden="1"/>
    </xf>
    <xf numFmtId="0" fontId="66" fillId="23" borderId="2" xfId="0" applyFont="1" applyFill="1" applyBorder="1" applyAlignment="1" applyProtection="1">
      <alignment horizontal="center" vertical="center"/>
      <protection hidden="1"/>
    </xf>
    <xf numFmtId="0" fontId="45" fillId="23" borderId="1" xfId="0" applyFont="1" applyFill="1" applyBorder="1" applyAlignment="1" applyProtection="1">
      <alignment horizontal="right"/>
      <protection hidden="1"/>
    </xf>
    <xf numFmtId="0" fontId="45" fillId="23" borderId="0" xfId="0" applyFont="1" applyFill="1" applyBorder="1" applyAlignment="1" applyProtection="1">
      <alignment horizontal="right"/>
      <protection hidden="1"/>
    </xf>
    <xf numFmtId="9" fontId="50" fillId="13" borderId="1" xfId="1" applyFont="1" applyFill="1" applyBorder="1" applyAlignment="1" applyProtection="1">
      <alignment horizontal="center" vertical="center"/>
      <protection hidden="1"/>
    </xf>
    <xf numFmtId="9" fontId="50" fillId="13" borderId="2" xfId="1" applyFont="1" applyFill="1" applyBorder="1" applyAlignment="1" applyProtection="1">
      <alignment horizontal="center" vertical="center"/>
      <protection hidden="1"/>
    </xf>
    <xf numFmtId="9" fontId="50" fillId="13" borderId="3" xfId="1" applyFont="1" applyFill="1" applyBorder="1" applyAlignment="1" applyProtection="1">
      <alignment horizontal="center" vertical="center"/>
      <protection hidden="1"/>
    </xf>
    <xf numFmtId="9" fontId="50" fillId="13" borderId="96" xfId="1" applyFont="1" applyFill="1" applyBorder="1" applyAlignment="1" applyProtection="1">
      <alignment horizontal="center" vertical="center"/>
      <protection hidden="1"/>
    </xf>
    <xf numFmtId="0" fontId="11" fillId="27" borderId="0" xfId="0" applyFont="1" applyFill="1" applyBorder="1" applyAlignment="1" applyProtection="1">
      <alignment horizontal="left" wrapText="1"/>
      <protection hidden="1"/>
    </xf>
    <xf numFmtId="0" fontId="11" fillId="27" borderId="1" xfId="0" applyFont="1" applyFill="1" applyBorder="1" applyAlignment="1" applyProtection="1">
      <alignment horizontal="left" vertical="center" wrapText="1"/>
      <protection hidden="1"/>
    </xf>
    <xf numFmtId="0" fontId="11" fillId="27" borderId="0" xfId="0" applyFont="1" applyFill="1" applyBorder="1" applyAlignment="1" applyProtection="1">
      <alignment horizontal="left" vertical="center" wrapText="1"/>
      <protection hidden="1"/>
    </xf>
    <xf numFmtId="0" fontId="11" fillId="27" borderId="2" xfId="0" applyFont="1" applyFill="1" applyBorder="1" applyAlignment="1" applyProtection="1">
      <alignment horizontal="left" vertical="center" wrapText="1"/>
      <protection hidden="1"/>
    </xf>
    <xf numFmtId="0" fontId="11" fillId="27" borderId="3" xfId="0" applyFont="1" applyFill="1" applyBorder="1" applyAlignment="1" applyProtection="1">
      <alignment horizontal="left" vertical="center" wrapText="1"/>
      <protection hidden="1"/>
    </xf>
    <xf numFmtId="0" fontId="11" fillId="27" borderId="109" xfId="0" applyFont="1" applyFill="1" applyBorder="1" applyAlignment="1" applyProtection="1">
      <alignment horizontal="left" vertical="center" wrapText="1"/>
      <protection hidden="1"/>
    </xf>
    <xf numFmtId="0" fontId="11" fillId="27" borderId="96" xfId="0" applyFont="1" applyFill="1" applyBorder="1" applyAlignment="1" applyProtection="1">
      <alignment horizontal="left" vertical="center" wrapText="1"/>
      <protection hidden="1"/>
    </xf>
    <xf numFmtId="3" fontId="15" fillId="13" borderId="1" xfId="0" applyNumberFormat="1" applyFont="1" applyFill="1" applyBorder="1" applyAlignment="1" applyProtection="1">
      <alignment horizontal="center"/>
      <protection hidden="1"/>
    </xf>
    <xf numFmtId="0" fontId="75" fillId="27" borderId="64" xfId="0" applyFont="1" applyFill="1" applyBorder="1" applyAlignment="1" applyProtection="1">
      <alignment horizontal="center"/>
      <protection hidden="1"/>
    </xf>
    <xf numFmtId="0" fontId="75" fillId="27" borderId="63" xfId="0" applyFont="1" applyFill="1" applyBorder="1" applyAlignment="1" applyProtection="1">
      <alignment horizontal="center"/>
      <protection hidden="1"/>
    </xf>
    <xf numFmtId="0" fontId="75" fillId="27" borderId="107" xfId="0" applyFont="1" applyFill="1" applyBorder="1" applyAlignment="1" applyProtection="1">
      <alignment horizontal="center"/>
      <protection hidden="1"/>
    </xf>
    <xf numFmtId="0" fontId="85" fillId="27" borderId="41" xfId="0" applyFont="1" applyFill="1" applyBorder="1" applyAlignment="1" applyProtection="1">
      <alignment horizontal="center" vertical="center" wrapText="1"/>
      <protection hidden="1"/>
    </xf>
    <xf numFmtId="0" fontId="85" fillId="27" borderId="70" xfId="0" applyFont="1" applyFill="1" applyBorder="1" applyAlignment="1" applyProtection="1">
      <alignment horizontal="center" vertical="center" wrapText="1"/>
      <protection hidden="1"/>
    </xf>
    <xf numFmtId="0" fontId="85" fillId="27" borderId="71" xfId="0" applyFont="1" applyFill="1" applyBorder="1" applyAlignment="1" applyProtection="1">
      <alignment horizontal="center" vertical="center" wrapText="1"/>
      <protection hidden="1"/>
    </xf>
    <xf numFmtId="0" fontId="85" fillId="27" borderId="72" xfId="0" applyFont="1" applyFill="1" applyBorder="1" applyAlignment="1" applyProtection="1">
      <alignment horizontal="center" vertical="center" wrapText="1"/>
      <protection hidden="1"/>
    </xf>
    <xf numFmtId="0" fontId="85" fillId="27" borderId="10" xfId="0" applyFont="1" applyFill="1" applyBorder="1" applyAlignment="1" applyProtection="1">
      <alignment horizontal="center" vertical="center" wrapText="1"/>
      <protection hidden="1"/>
    </xf>
    <xf numFmtId="0" fontId="85" fillId="27" borderId="73" xfId="0" applyFont="1" applyFill="1" applyBorder="1" applyAlignment="1" applyProtection="1">
      <alignment horizontal="center" vertical="center" wrapText="1"/>
      <protection hidden="1"/>
    </xf>
    <xf numFmtId="0" fontId="85" fillId="27" borderId="74" xfId="0" applyFont="1" applyFill="1" applyBorder="1" applyAlignment="1" applyProtection="1">
      <alignment horizontal="center" vertical="center" wrapText="1"/>
      <protection hidden="1"/>
    </xf>
    <xf numFmtId="0" fontId="85" fillId="27" borderId="37" xfId="0" applyFont="1" applyFill="1" applyBorder="1" applyAlignment="1" applyProtection="1">
      <alignment horizontal="center" vertical="center" wrapText="1"/>
      <protection hidden="1"/>
    </xf>
    <xf numFmtId="0" fontId="85" fillId="27" borderId="75" xfId="0" applyFont="1" applyFill="1" applyBorder="1" applyAlignment="1" applyProtection="1">
      <alignment horizontal="center" vertical="center" wrapText="1"/>
      <protection hidden="1"/>
    </xf>
    <xf numFmtId="0" fontId="72" fillId="8" borderId="0" xfId="0" applyFont="1" applyFill="1" applyBorder="1" applyAlignment="1" applyProtection="1">
      <alignment horizontal="center"/>
      <protection hidden="1"/>
    </xf>
    <xf numFmtId="0" fontId="20" fillId="8" borderId="64" xfId="0" applyFont="1" applyFill="1" applyBorder="1" applyAlignment="1" applyProtection="1">
      <alignment horizontal="center" vertical="center" wrapText="1"/>
      <protection hidden="1"/>
    </xf>
    <xf numFmtId="0" fontId="20" fillId="8" borderId="63" xfId="0" applyFont="1" applyFill="1" applyBorder="1" applyAlignment="1" applyProtection="1">
      <alignment horizontal="center" vertical="center" wrapText="1"/>
      <protection hidden="1"/>
    </xf>
    <xf numFmtId="0" fontId="20" fillId="8" borderId="107" xfId="0" applyFont="1" applyFill="1" applyBorder="1" applyAlignment="1" applyProtection="1">
      <alignment horizontal="center" vertical="center" wrapText="1"/>
      <protection hidden="1"/>
    </xf>
    <xf numFmtId="0" fontId="20" fillId="8" borderId="1" xfId="0" applyFont="1" applyFill="1" applyBorder="1" applyAlignment="1" applyProtection="1">
      <alignment horizontal="center" vertical="center" wrapText="1"/>
      <protection hidden="1"/>
    </xf>
    <xf numFmtId="0" fontId="20" fillId="8" borderId="0" xfId="0" applyFont="1" applyFill="1" applyBorder="1" applyAlignment="1" applyProtection="1">
      <alignment horizontal="center" vertical="center" wrapText="1"/>
      <protection hidden="1"/>
    </xf>
    <xf numFmtId="0" fontId="20" fillId="8" borderId="2" xfId="0" applyFont="1" applyFill="1" applyBorder="1" applyAlignment="1" applyProtection="1">
      <alignment horizontal="center" vertical="center" wrapText="1"/>
      <protection hidden="1"/>
    </xf>
    <xf numFmtId="0" fontId="20" fillId="8" borderId="3" xfId="0" applyFont="1" applyFill="1" applyBorder="1" applyAlignment="1" applyProtection="1">
      <alignment horizontal="center" vertical="center" wrapText="1"/>
      <protection hidden="1"/>
    </xf>
    <xf numFmtId="0" fontId="20" fillId="8" borderId="109" xfId="0" applyFont="1" applyFill="1" applyBorder="1" applyAlignment="1" applyProtection="1">
      <alignment horizontal="center" vertical="center" wrapText="1"/>
      <protection hidden="1"/>
    </xf>
    <xf numFmtId="0" fontId="20" fillId="8" borderId="96" xfId="0" applyFont="1" applyFill="1" applyBorder="1" applyAlignment="1" applyProtection="1">
      <alignment horizontal="center" vertical="center" wrapText="1"/>
      <protection hidden="1"/>
    </xf>
    <xf numFmtId="0" fontId="77" fillId="8" borderId="0" xfId="0" applyFont="1" applyFill="1" applyBorder="1" applyAlignment="1" applyProtection="1">
      <alignment horizontal="center" wrapText="1"/>
      <protection hidden="1"/>
    </xf>
    <xf numFmtId="0" fontId="84" fillId="8" borderId="64" xfId="0" applyFont="1" applyFill="1" applyBorder="1" applyAlignment="1" applyProtection="1">
      <alignment horizontal="center" wrapText="1"/>
      <protection hidden="1"/>
    </xf>
    <xf numFmtId="0" fontId="84" fillId="8" borderId="107" xfId="0" applyFont="1" applyFill="1" applyBorder="1" applyAlignment="1" applyProtection="1">
      <alignment horizontal="center" wrapText="1"/>
      <protection hidden="1"/>
    </xf>
    <xf numFmtId="0" fontId="84" fillId="8" borderId="1" xfId="0" applyFont="1" applyFill="1" applyBorder="1" applyAlignment="1" applyProtection="1">
      <alignment horizontal="center" wrapText="1"/>
      <protection hidden="1"/>
    </xf>
    <xf numFmtId="0" fontId="84" fillId="8" borderId="2" xfId="0" applyFont="1" applyFill="1" applyBorder="1" applyAlignment="1" applyProtection="1">
      <alignment horizontal="center" wrapText="1"/>
      <protection hidden="1"/>
    </xf>
    <xf numFmtId="0" fontId="84" fillId="8" borderId="3" xfId="0" applyFont="1" applyFill="1" applyBorder="1" applyAlignment="1" applyProtection="1">
      <alignment horizontal="center" wrapText="1"/>
      <protection hidden="1"/>
    </xf>
    <xf numFmtId="0" fontId="84" fillId="8" borderId="96" xfId="0" applyFont="1" applyFill="1" applyBorder="1" applyAlignment="1" applyProtection="1">
      <alignment horizontal="center" wrapText="1"/>
      <protection hidden="1"/>
    </xf>
    <xf numFmtId="0" fontId="20" fillId="8" borderId="0" xfId="0" applyFont="1" applyFill="1" applyBorder="1" applyAlignment="1" applyProtection="1">
      <alignment horizontal="center" vertical="center"/>
      <protection hidden="1"/>
    </xf>
    <xf numFmtId="0" fontId="20" fillId="8" borderId="0" xfId="0" applyFont="1" applyFill="1" applyBorder="1" applyAlignment="1" applyProtection="1">
      <alignment horizontal="center"/>
      <protection hidden="1"/>
    </xf>
    <xf numFmtId="3" fontId="11" fillId="27" borderId="45" xfId="0" applyNumberFormat="1" applyFont="1" applyFill="1" applyBorder="1" applyAlignment="1" applyProtection="1">
      <alignment horizontal="center" vertical="center" wrapText="1"/>
      <protection hidden="1"/>
    </xf>
    <xf numFmtId="3" fontId="11" fillId="27" borderId="105" xfId="0" applyNumberFormat="1" applyFont="1" applyFill="1" applyBorder="1" applyAlignment="1" applyProtection="1">
      <alignment horizontal="center" vertical="center" wrapText="1"/>
      <protection hidden="1"/>
    </xf>
    <xf numFmtId="3" fontId="11" fillId="27" borderId="106" xfId="0" applyNumberFormat="1" applyFont="1" applyFill="1" applyBorder="1" applyAlignment="1" applyProtection="1">
      <alignment horizontal="center" vertical="center" wrapText="1"/>
      <protection hidden="1"/>
    </xf>
    <xf numFmtId="0" fontId="37" fillId="27" borderId="0" xfId="0" applyFont="1" applyFill="1" applyBorder="1" applyAlignment="1" applyProtection="1">
      <alignment horizontal="center" vertical="center" wrapText="1"/>
      <protection hidden="1"/>
    </xf>
    <xf numFmtId="0" fontId="0" fillId="0" borderId="0" xfId="0" applyAlignment="1">
      <alignment horizontal="center" wrapText="1"/>
    </xf>
    <xf numFmtId="0" fontId="3" fillId="0" borderId="18" xfId="0" applyFont="1" applyBorder="1" applyAlignment="1">
      <alignment horizontal="left"/>
    </xf>
    <xf numFmtId="0" fontId="3" fillId="0" borderId="110" xfId="0" applyFont="1" applyBorder="1" applyAlignment="1">
      <alignment horizontal="left"/>
    </xf>
    <xf numFmtId="0" fontId="3" fillId="0" borderId="30"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1" fillId="0" borderId="0" xfId="0" applyFont="1" applyAlignment="1">
      <alignment horizontal="center"/>
    </xf>
    <xf numFmtId="0" fontId="40" fillId="25" borderId="81" xfId="0" applyFont="1" applyFill="1" applyBorder="1" applyAlignment="1">
      <alignment horizontal="center" vertical="center" wrapText="1"/>
    </xf>
    <xf numFmtId="0" fontId="40" fillId="25" borderId="83" xfId="0" applyFont="1" applyFill="1" applyBorder="1" applyAlignment="1">
      <alignment horizontal="center" vertical="center" wrapText="1"/>
    </xf>
    <xf numFmtId="0" fontId="40" fillId="25" borderId="82" xfId="0" applyFont="1" applyFill="1" applyBorder="1" applyAlignment="1">
      <alignment horizontal="center" vertical="center" wrapText="1"/>
    </xf>
    <xf numFmtId="0" fontId="40" fillId="25" borderId="97" xfId="0" applyFont="1" applyFill="1" applyBorder="1" applyAlignment="1">
      <alignment horizontal="left" vertical="top" wrapText="1"/>
    </xf>
    <xf numFmtId="0" fontId="40" fillId="25" borderId="84" xfId="0" applyFont="1" applyFill="1" applyBorder="1" applyAlignment="1">
      <alignment horizontal="left" vertical="top" wrapText="1"/>
    </xf>
    <xf numFmtId="0" fontId="40" fillId="25" borderId="98" xfId="0" applyFont="1" applyFill="1" applyBorder="1" applyAlignment="1">
      <alignment horizontal="left" vertical="top" wrapText="1"/>
    </xf>
    <xf numFmtId="0" fontId="40" fillId="25" borderId="100" xfId="0" applyFont="1" applyFill="1" applyBorder="1" applyAlignment="1">
      <alignment horizontal="left" vertical="top" wrapText="1"/>
    </xf>
    <xf numFmtId="0" fontId="40" fillId="25" borderId="85" xfId="0" applyFont="1" applyFill="1" applyBorder="1" applyAlignment="1">
      <alignment horizontal="left" vertical="top" wrapText="1"/>
    </xf>
    <xf numFmtId="0" fontId="40" fillId="25" borderId="99" xfId="0" applyFont="1" applyFill="1" applyBorder="1" applyAlignment="1">
      <alignment horizontal="left" vertical="top" wrapText="1"/>
    </xf>
    <xf numFmtId="0" fontId="57" fillId="0" borderId="0" xfId="0" applyFont="1" applyAlignment="1">
      <alignment horizontal="center"/>
    </xf>
    <xf numFmtId="0" fontId="24" fillId="0" borderId="10" xfId="0" applyFont="1" applyBorder="1" applyAlignment="1">
      <alignment horizontal="center"/>
    </xf>
    <xf numFmtId="0" fontId="3" fillId="0" borderId="10" xfId="0" applyFont="1" applyBorder="1" applyAlignment="1">
      <alignment horizontal="center"/>
    </xf>
    <xf numFmtId="0" fontId="29" fillId="0" borderId="0" xfId="0" applyFont="1" applyAlignment="1">
      <alignment horizontal="center"/>
    </xf>
    <xf numFmtId="0" fontId="3" fillId="0" borderId="11" xfId="0" applyFont="1" applyBorder="1" applyAlignment="1">
      <alignment horizontal="center"/>
    </xf>
    <xf numFmtId="0" fontId="3" fillId="0" borderId="19" xfId="0" applyFont="1" applyBorder="1" applyAlignment="1">
      <alignment horizontal="center"/>
    </xf>
    <xf numFmtId="0" fontId="0" fillId="0" borderId="19" xfId="0" applyBorder="1" applyAlignment="1">
      <alignment horizontal="center"/>
    </xf>
    <xf numFmtId="0" fontId="0" fillId="0" borderId="12" xfId="0" applyBorder="1" applyAlignment="1">
      <alignment horizontal="center"/>
    </xf>
  </cellXfs>
  <cellStyles count="4">
    <cellStyle name="Bad" xfId="3" builtinId="27"/>
    <cellStyle name="Comma" xfId="2" builtinId="3"/>
    <cellStyle name="Normal" xfId="0" builtinId="0"/>
    <cellStyle name="Percent" xfId="1" builtinId="5"/>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font>
    </dxf>
    <dxf>
      <font>
        <strike/>
      </font>
    </dxf>
    <dxf>
      <font>
        <strike/>
      </font>
    </dxf>
    <dxf>
      <font>
        <strike/>
      </font>
    </dxf>
    <dxf>
      <fill>
        <patternFill>
          <bgColor rgb="FFFFFF00"/>
        </patternFill>
      </fill>
    </dxf>
    <dxf>
      <font>
        <color theme="1"/>
      </font>
      <fill>
        <patternFill>
          <bgColor rgb="FF009900"/>
        </patternFill>
      </fill>
    </dxf>
    <dxf>
      <font>
        <color auto="1"/>
      </font>
      <fill>
        <patternFill>
          <bgColor rgb="FF33CC33"/>
        </patternFill>
      </fill>
    </dxf>
    <dxf>
      <font>
        <color auto="1"/>
      </font>
      <fill>
        <patternFill>
          <bgColor rgb="FF66FF3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98727638043881"/>
          <c:y val="5.5852800296333341E-2"/>
          <c:w val="0.85080622061269473"/>
          <c:h val="0.70186330341270653"/>
        </c:manualLayout>
      </c:layout>
      <c:lineChart>
        <c:grouping val="standard"/>
        <c:varyColors val="0"/>
        <c:ser>
          <c:idx val="0"/>
          <c:order val="0"/>
          <c:tx>
            <c:strRef>
              <c:f>FigureInputs!$A$2</c:f>
              <c:strCache>
                <c:ptCount val="1"/>
                <c:pt idx="0">
                  <c:v>Landings</c:v>
                </c:pt>
              </c:strCache>
            </c:strRef>
          </c:tx>
          <c:spPr>
            <a:ln w="57150" cap="rnd">
              <a:solidFill>
                <a:schemeClr val="accent1">
                  <a:lumMod val="50000"/>
                </a:schemeClr>
              </a:solidFill>
              <a:prstDash val="sysDash"/>
              <a:round/>
            </a:ln>
            <a:effectLst/>
          </c:spPr>
          <c:marker>
            <c:symbol val="none"/>
          </c:marker>
          <c:cat>
            <c:strRef>
              <c:f>FigureInputs!$B$1:$N$1</c:f>
              <c:strCache>
                <c:ptCount val="13"/>
                <c:pt idx="1">
                  <c:v> Jan </c:v>
                </c:pt>
                <c:pt idx="2">
                  <c:v> Feb </c:v>
                </c:pt>
                <c:pt idx="3">
                  <c:v> Mar </c:v>
                </c:pt>
                <c:pt idx="4">
                  <c:v> Apr </c:v>
                </c:pt>
                <c:pt idx="5">
                  <c:v> May </c:v>
                </c:pt>
                <c:pt idx="6">
                  <c:v> Jun </c:v>
                </c:pt>
                <c:pt idx="7">
                  <c:v> Jul </c:v>
                </c:pt>
                <c:pt idx="8">
                  <c:v> Aug </c:v>
                </c:pt>
                <c:pt idx="9">
                  <c:v> Sep </c:v>
                </c:pt>
                <c:pt idx="10">
                  <c:v> Oct </c:v>
                </c:pt>
                <c:pt idx="11">
                  <c:v> Nov </c:v>
                </c:pt>
                <c:pt idx="12">
                  <c:v> Dec </c:v>
                </c:pt>
              </c:strCache>
            </c:strRef>
          </c:cat>
          <c:val>
            <c:numRef>
              <c:f>FigureInputs!$B$2:$N$2</c:f>
              <c:numCache>
                <c:formatCode>_(* #,##0_);_(* \(#,##0\);_(* "-"??_);_(@_)</c:formatCode>
                <c:ptCount val="13"/>
                <c:pt idx="0">
                  <c:v>0</c:v>
                </c:pt>
                <c:pt idx="1">
                  <c:v>0</c:v>
                </c:pt>
                <c:pt idx="2">
                  <c:v>0</c:v>
                </c:pt>
                <c:pt idx="3">
                  <c:v>0</c:v>
                </c:pt>
                <c:pt idx="4">
                  <c:v>0</c:v>
                </c:pt>
                <c:pt idx="5">
                  <c:v>6737.5990000000002</c:v>
                </c:pt>
                <c:pt idx="6">
                  <c:v>13257.855599999999</c:v>
                </c:pt>
                <c:pt idx="7">
                  <c:v>20659.251199999999</c:v>
                </c:pt>
                <c:pt idx="8">
                  <c:v>28060.646799999999</c:v>
                </c:pt>
                <c:pt idx="9">
                  <c:v>28874.129799999999</c:v>
                </c:pt>
                <c:pt idx="10">
                  <c:v>29714.728999999999</c:v>
                </c:pt>
                <c:pt idx="11">
                  <c:v>29925.8655</c:v>
                </c:pt>
                <c:pt idx="12">
                  <c:v>30144.04</c:v>
                </c:pt>
              </c:numCache>
            </c:numRef>
          </c:val>
          <c:smooth val="0"/>
          <c:extLst>
            <c:ext xmlns:c16="http://schemas.microsoft.com/office/drawing/2014/chart" uri="{C3380CC4-5D6E-409C-BE32-E72D297353CC}">
              <c16:uniqueId val="{00000000-BE28-4BFB-9CE6-6876D21E8A14}"/>
            </c:ext>
          </c:extLst>
        </c:ser>
        <c:ser>
          <c:idx val="1"/>
          <c:order val="1"/>
          <c:tx>
            <c:strRef>
              <c:f>FigureInputs!$A$3</c:f>
              <c:strCache>
                <c:ptCount val="1"/>
                <c:pt idx="0">
                  <c:v>Preferred Alt 2 ACL (2025)</c:v>
                </c:pt>
              </c:strCache>
            </c:strRef>
          </c:tx>
          <c:spPr>
            <a:ln w="38100" cap="rnd">
              <a:solidFill>
                <a:schemeClr val="accent2"/>
              </a:solidFill>
              <a:round/>
            </a:ln>
            <a:effectLst/>
          </c:spPr>
          <c:marker>
            <c:symbol val="none"/>
          </c:marker>
          <c:cat>
            <c:strRef>
              <c:f>FigureInputs!$B$1:$N$1</c:f>
              <c:strCache>
                <c:ptCount val="13"/>
                <c:pt idx="1">
                  <c:v> Jan </c:v>
                </c:pt>
                <c:pt idx="2">
                  <c:v> Feb </c:v>
                </c:pt>
                <c:pt idx="3">
                  <c:v> Mar </c:v>
                </c:pt>
                <c:pt idx="4">
                  <c:v> Apr </c:v>
                </c:pt>
                <c:pt idx="5">
                  <c:v> May </c:v>
                </c:pt>
                <c:pt idx="6">
                  <c:v> Jun </c:v>
                </c:pt>
                <c:pt idx="7">
                  <c:v> Jul </c:v>
                </c:pt>
                <c:pt idx="8">
                  <c:v> Aug </c:v>
                </c:pt>
                <c:pt idx="9">
                  <c:v> Sep </c:v>
                </c:pt>
                <c:pt idx="10">
                  <c:v> Oct </c:v>
                </c:pt>
                <c:pt idx="11">
                  <c:v> Nov </c:v>
                </c:pt>
                <c:pt idx="12">
                  <c:v> Dec </c:v>
                </c:pt>
              </c:strCache>
            </c:strRef>
          </c:cat>
          <c:val>
            <c:numRef>
              <c:f>FigureInputs!$B$3:$N$3</c:f>
              <c:numCache>
                <c:formatCode>_(* #,##0_);_(* \(#,##0\);_(* "-"??_);_(@_)</c:formatCode>
                <c:ptCount val="13"/>
                <c:pt idx="0">
                  <c:v>23678.322499999998</c:v>
                </c:pt>
                <c:pt idx="1">
                  <c:v>23678.322499999998</c:v>
                </c:pt>
                <c:pt idx="2">
                  <c:v>23678.322499999998</c:v>
                </c:pt>
                <c:pt idx="3">
                  <c:v>23678.322499999998</c:v>
                </c:pt>
                <c:pt idx="4">
                  <c:v>23678.322499999998</c:v>
                </c:pt>
                <c:pt idx="5">
                  <c:v>23678.322499999998</c:v>
                </c:pt>
                <c:pt idx="6">
                  <c:v>23678.322499999998</c:v>
                </c:pt>
                <c:pt idx="7">
                  <c:v>23678.322499999998</c:v>
                </c:pt>
                <c:pt idx="8">
                  <c:v>23678.322499999998</c:v>
                </c:pt>
                <c:pt idx="9">
                  <c:v>23678.322499999998</c:v>
                </c:pt>
                <c:pt idx="10">
                  <c:v>23678.322499999998</c:v>
                </c:pt>
                <c:pt idx="11">
                  <c:v>23678.322499999998</c:v>
                </c:pt>
                <c:pt idx="12">
                  <c:v>23678.322499999998</c:v>
                </c:pt>
              </c:numCache>
            </c:numRef>
          </c:val>
          <c:smooth val="0"/>
          <c:extLst>
            <c:ext xmlns:c16="http://schemas.microsoft.com/office/drawing/2014/chart" uri="{C3380CC4-5D6E-409C-BE32-E72D297353CC}">
              <c16:uniqueId val="{00000001-BE28-4BFB-9CE6-6876D21E8A14}"/>
            </c:ext>
          </c:extLst>
        </c:ser>
        <c:ser>
          <c:idx val="2"/>
          <c:order val="2"/>
          <c:tx>
            <c:strRef>
              <c:f>FigureInputs!$A$4</c:f>
              <c:strCache>
                <c:ptCount val="1"/>
                <c:pt idx="0">
                  <c:v>Preferred Alt 2 ACL (2027)</c:v>
                </c:pt>
              </c:strCache>
            </c:strRef>
          </c:tx>
          <c:spPr>
            <a:ln w="38100" cap="rnd">
              <a:solidFill>
                <a:schemeClr val="accent3"/>
              </a:solidFill>
              <a:round/>
            </a:ln>
            <a:effectLst/>
          </c:spPr>
          <c:marker>
            <c:symbol val="none"/>
          </c:marker>
          <c:cat>
            <c:strRef>
              <c:f>FigureInputs!$B$1:$N$1</c:f>
              <c:strCache>
                <c:ptCount val="13"/>
                <c:pt idx="1">
                  <c:v> Jan </c:v>
                </c:pt>
                <c:pt idx="2">
                  <c:v> Feb </c:v>
                </c:pt>
                <c:pt idx="3">
                  <c:v> Mar </c:v>
                </c:pt>
                <c:pt idx="4">
                  <c:v> Apr </c:v>
                </c:pt>
                <c:pt idx="5">
                  <c:v> May </c:v>
                </c:pt>
                <c:pt idx="6">
                  <c:v> Jun </c:v>
                </c:pt>
                <c:pt idx="7">
                  <c:v> Jul </c:v>
                </c:pt>
                <c:pt idx="8">
                  <c:v> Aug </c:v>
                </c:pt>
                <c:pt idx="9">
                  <c:v> Sep </c:v>
                </c:pt>
                <c:pt idx="10">
                  <c:v> Oct </c:v>
                </c:pt>
                <c:pt idx="11">
                  <c:v> Nov </c:v>
                </c:pt>
                <c:pt idx="12">
                  <c:v> Dec </c:v>
                </c:pt>
              </c:strCache>
            </c:strRef>
          </c:cat>
          <c:val>
            <c:numRef>
              <c:f>FigureInputs!$B$4:$N$4</c:f>
              <c:numCache>
                <c:formatCode>_(* #,##0_);_(* \(#,##0\);_(* "-"??_);_(@_)</c:formatCode>
                <c:ptCount val="13"/>
                <c:pt idx="0">
                  <c:v>26052.648000000005</c:v>
                </c:pt>
                <c:pt idx="1">
                  <c:v>26052.648000000005</c:v>
                </c:pt>
                <c:pt idx="2">
                  <c:v>26052.648000000005</c:v>
                </c:pt>
                <c:pt idx="3">
                  <c:v>26052.648000000005</c:v>
                </c:pt>
                <c:pt idx="4">
                  <c:v>26052.648000000005</c:v>
                </c:pt>
                <c:pt idx="5">
                  <c:v>26052.648000000005</c:v>
                </c:pt>
                <c:pt idx="6">
                  <c:v>26052.648000000005</c:v>
                </c:pt>
                <c:pt idx="7">
                  <c:v>26052.648000000005</c:v>
                </c:pt>
                <c:pt idx="8">
                  <c:v>26052.648000000005</c:v>
                </c:pt>
                <c:pt idx="9">
                  <c:v>26052.648000000005</c:v>
                </c:pt>
                <c:pt idx="10">
                  <c:v>26052.648000000005</c:v>
                </c:pt>
                <c:pt idx="11">
                  <c:v>26052.648000000005</c:v>
                </c:pt>
                <c:pt idx="12">
                  <c:v>26052.648000000005</c:v>
                </c:pt>
              </c:numCache>
            </c:numRef>
          </c:val>
          <c:smooth val="0"/>
          <c:extLst>
            <c:ext xmlns:c16="http://schemas.microsoft.com/office/drawing/2014/chart" uri="{C3380CC4-5D6E-409C-BE32-E72D297353CC}">
              <c16:uniqueId val="{00000002-BE28-4BFB-9CE6-6876D21E8A14}"/>
            </c:ext>
          </c:extLst>
        </c:ser>
        <c:ser>
          <c:idx val="3"/>
          <c:order val="3"/>
          <c:tx>
            <c:strRef>
              <c:f>FigureInputs!$A$5</c:f>
              <c:strCache>
                <c:ptCount val="1"/>
                <c:pt idx="0">
                  <c:v>Preferred Alt 2 ACL (2029)</c:v>
                </c:pt>
              </c:strCache>
            </c:strRef>
          </c:tx>
          <c:spPr>
            <a:ln w="38100" cap="rnd">
              <a:solidFill>
                <a:schemeClr val="accent4"/>
              </a:solidFill>
              <a:round/>
            </a:ln>
            <a:effectLst/>
          </c:spPr>
          <c:marker>
            <c:symbol val="none"/>
          </c:marker>
          <c:cat>
            <c:strRef>
              <c:f>FigureInputs!$B$1:$N$1</c:f>
              <c:strCache>
                <c:ptCount val="13"/>
                <c:pt idx="1">
                  <c:v> Jan </c:v>
                </c:pt>
                <c:pt idx="2">
                  <c:v> Feb </c:v>
                </c:pt>
                <c:pt idx="3">
                  <c:v> Mar </c:v>
                </c:pt>
                <c:pt idx="4">
                  <c:v> Apr </c:v>
                </c:pt>
                <c:pt idx="5">
                  <c:v> May </c:v>
                </c:pt>
                <c:pt idx="6">
                  <c:v> Jun </c:v>
                </c:pt>
                <c:pt idx="7">
                  <c:v> Jul </c:v>
                </c:pt>
                <c:pt idx="8">
                  <c:v> Aug </c:v>
                </c:pt>
                <c:pt idx="9">
                  <c:v> Sep </c:v>
                </c:pt>
                <c:pt idx="10">
                  <c:v> Oct </c:v>
                </c:pt>
                <c:pt idx="11">
                  <c:v> Nov </c:v>
                </c:pt>
                <c:pt idx="12">
                  <c:v> Dec </c:v>
                </c:pt>
              </c:strCache>
            </c:strRef>
          </c:cat>
          <c:val>
            <c:numRef>
              <c:f>FigureInputs!$B$5:$N$5</c:f>
              <c:numCache>
                <c:formatCode>_(* #,##0_);_(* \(#,##0\);_(* "-"??_);_(@_)</c:formatCode>
                <c:ptCount val="13"/>
                <c:pt idx="0">
                  <c:v>27478.056499999995</c:v>
                </c:pt>
                <c:pt idx="1">
                  <c:v>27478.056499999995</c:v>
                </c:pt>
                <c:pt idx="2">
                  <c:v>27478.056499999995</c:v>
                </c:pt>
                <c:pt idx="3">
                  <c:v>27478.056499999995</c:v>
                </c:pt>
                <c:pt idx="4">
                  <c:v>27478.056499999995</c:v>
                </c:pt>
                <c:pt idx="5">
                  <c:v>27478.056499999995</c:v>
                </c:pt>
                <c:pt idx="6">
                  <c:v>27478.056499999995</c:v>
                </c:pt>
                <c:pt idx="7">
                  <c:v>27478.056499999995</c:v>
                </c:pt>
                <c:pt idx="8">
                  <c:v>27478.056499999995</c:v>
                </c:pt>
                <c:pt idx="9">
                  <c:v>27478.056499999995</c:v>
                </c:pt>
                <c:pt idx="10">
                  <c:v>27478.056499999995</c:v>
                </c:pt>
                <c:pt idx="11">
                  <c:v>27478.056499999995</c:v>
                </c:pt>
                <c:pt idx="12">
                  <c:v>27478.056499999995</c:v>
                </c:pt>
              </c:numCache>
            </c:numRef>
          </c:val>
          <c:smooth val="0"/>
          <c:extLst>
            <c:ext xmlns:c16="http://schemas.microsoft.com/office/drawing/2014/chart" uri="{C3380CC4-5D6E-409C-BE32-E72D297353CC}">
              <c16:uniqueId val="{00000003-BE28-4BFB-9CE6-6876D21E8A14}"/>
            </c:ext>
          </c:extLst>
        </c:ser>
        <c:ser>
          <c:idx val="4"/>
          <c:order val="4"/>
          <c:tx>
            <c:strRef>
              <c:f>FigureInputs!$A$6</c:f>
              <c:strCache>
                <c:ptCount val="1"/>
                <c:pt idx="0">
                  <c:v>Sandbox ACL</c:v>
                </c:pt>
              </c:strCache>
            </c:strRef>
          </c:tx>
          <c:spPr>
            <a:ln w="38100" cap="rnd">
              <a:solidFill>
                <a:schemeClr val="accent5"/>
              </a:solidFill>
              <a:round/>
            </a:ln>
            <a:effectLst/>
          </c:spPr>
          <c:marker>
            <c:symbol val="none"/>
          </c:marker>
          <c:cat>
            <c:strRef>
              <c:f>FigureInputs!$B$1:$N$1</c:f>
              <c:strCache>
                <c:ptCount val="13"/>
                <c:pt idx="1">
                  <c:v> Jan </c:v>
                </c:pt>
                <c:pt idx="2">
                  <c:v> Feb </c:v>
                </c:pt>
                <c:pt idx="3">
                  <c:v> Mar </c:v>
                </c:pt>
                <c:pt idx="4">
                  <c:v> Apr </c:v>
                </c:pt>
                <c:pt idx="5">
                  <c:v> May </c:v>
                </c:pt>
                <c:pt idx="6">
                  <c:v> Jun </c:v>
                </c:pt>
                <c:pt idx="7">
                  <c:v> Jul </c:v>
                </c:pt>
                <c:pt idx="8">
                  <c:v> Aug </c:v>
                </c:pt>
                <c:pt idx="9">
                  <c:v> Sep </c:v>
                </c:pt>
                <c:pt idx="10">
                  <c:v> Oct </c:v>
                </c:pt>
                <c:pt idx="11">
                  <c:v> Nov </c:v>
                </c:pt>
                <c:pt idx="12">
                  <c:v> Dec </c:v>
                </c:pt>
              </c:strCache>
            </c:strRef>
          </c:cat>
          <c:val>
            <c:numRef>
              <c:f>FigureInputs!$B$6:$N$6</c:f>
              <c:numCache>
                <c:formatCode>_(* #,##0_);_(* \(#,##0\);_(* "-"??_);_(@_)</c:formatCode>
                <c:ptCount val="13"/>
                <c:pt idx="0">
                  <c:v>25000</c:v>
                </c:pt>
                <c:pt idx="1">
                  <c:v>25000</c:v>
                </c:pt>
                <c:pt idx="2">
                  <c:v>25000</c:v>
                </c:pt>
                <c:pt idx="3">
                  <c:v>25000</c:v>
                </c:pt>
                <c:pt idx="4">
                  <c:v>25000</c:v>
                </c:pt>
                <c:pt idx="5">
                  <c:v>25000</c:v>
                </c:pt>
                <c:pt idx="6">
                  <c:v>25000</c:v>
                </c:pt>
                <c:pt idx="7">
                  <c:v>25000</c:v>
                </c:pt>
                <c:pt idx="8">
                  <c:v>25000</c:v>
                </c:pt>
                <c:pt idx="9">
                  <c:v>25000</c:v>
                </c:pt>
                <c:pt idx="10">
                  <c:v>25000</c:v>
                </c:pt>
                <c:pt idx="11">
                  <c:v>25000</c:v>
                </c:pt>
                <c:pt idx="12">
                  <c:v>25000</c:v>
                </c:pt>
              </c:numCache>
            </c:numRef>
          </c:val>
          <c:smooth val="0"/>
          <c:extLst>
            <c:ext xmlns:c16="http://schemas.microsoft.com/office/drawing/2014/chart" uri="{C3380CC4-5D6E-409C-BE32-E72D297353CC}">
              <c16:uniqueId val="{00000004-BE28-4BFB-9CE6-6876D21E8A14}"/>
            </c:ext>
          </c:extLst>
        </c:ser>
        <c:dLbls>
          <c:showLegendKey val="0"/>
          <c:showVal val="0"/>
          <c:showCatName val="0"/>
          <c:showSerName val="0"/>
          <c:showPercent val="0"/>
          <c:showBubbleSize val="0"/>
        </c:dLbls>
        <c:smooth val="0"/>
        <c:axId val="1466733088"/>
        <c:axId val="1466726432"/>
      </c:lineChart>
      <c:catAx>
        <c:axId val="1466733088"/>
        <c:scaling>
          <c:orientation val="minMax"/>
        </c:scaling>
        <c:delete val="0"/>
        <c:axPos val="b"/>
        <c:numFmt formatCode="General" sourceLinked="1"/>
        <c:majorTickMark val="cross"/>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6726432"/>
        <c:crosses val="autoZero"/>
        <c:auto val="1"/>
        <c:lblAlgn val="ctr"/>
        <c:lblOffset val="100"/>
        <c:noMultiLvlLbl val="0"/>
      </c:catAx>
      <c:valAx>
        <c:axId val="1466726432"/>
        <c:scaling>
          <c:orientation val="minMax"/>
        </c:scaling>
        <c:delete val="0"/>
        <c:axPos val="l"/>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000" b="1"/>
                  <a:t>Landings (lb ww)</a:t>
                </a:r>
              </a:p>
            </c:rich>
          </c:tx>
          <c:layout>
            <c:manualLayout>
              <c:xMode val="edge"/>
              <c:yMode val="edge"/>
              <c:x val="2.2963433395833403E-2"/>
              <c:y val="0.25756025683989697"/>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cross"/>
        <c:minorTickMark val="none"/>
        <c:tickLblPos val="nextTo"/>
        <c:spPr>
          <a:noFill/>
          <a:ln w="25400">
            <a:solidFill>
              <a:schemeClr val="tx1"/>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6733088"/>
        <c:crosses val="autoZero"/>
        <c:crossBetween val="between"/>
      </c:valAx>
      <c:spPr>
        <a:noFill/>
        <a:ln>
          <a:noFill/>
        </a:ln>
        <a:effectLst/>
      </c:spPr>
    </c:plotArea>
    <c:legend>
      <c:legendPos val="b"/>
      <c:layout>
        <c:manualLayout>
          <c:xMode val="edge"/>
          <c:yMode val="edge"/>
          <c:x val="9.8468881594170388E-2"/>
          <c:y val="0.87818649820800532"/>
          <c:w val="0.88652217415947787"/>
          <c:h val="0.10432796165563075"/>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15</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Bag_Limit!$CG$47:$CR$47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9D3-4B5A-856F-13DECA501586}"/>
            </c:ext>
          </c:extLst>
        </c:ser>
        <c:ser>
          <c:idx val="1"/>
          <c:order val="1"/>
          <c:tx>
            <c:v>16</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Bag_Limit!$CG$48:$CR$48</c:f>
              <c:numCache>
                <c:formatCode>General</c:formatCode>
                <c:ptCount val="12"/>
                <c:pt idx="0">
                  <c:v>28.571428571428569</c:v>
                </c:pt>
                <c:pt idx="1">
                  <c:v>28.571428571428569</c:v>
                </c:pt>
                <c:pt idx="2">
                  <c:v>28.571428571428569</c:v>
                </c:pt>
                <c:pt idx="3">
                  <c:v>25.773195876288657</c:v>
                </c:pt>
                <c:pt idx="4">
                  <c:v>22.727272727272727</c:v>
                </c:pt>
                <c:pt idx="5">
                  <c:v>7.1428571428571423</c:v>
                </c:pt>
                <c:pt idx="6">
                  <c:v>14.130434782608695</c:v>
                </c:pt>
                <c:pt idx="7">
                  <c:v>18.390804597701148</c:v>
                </c:pt>
                <c:pt idx="8">
                  <c:v>16.176470588235293</c:v>
                </c:pt>
                <c:pt idx="9">
                  <c:v>23.711340206185564</c:v>
                </c:pt>
                <c:pt idx="10">
                  <c:v>23.711340206185564</c:v>
                </c:pt>
                <c:pt idx="11">
                  <c:v>23.711340206185564</c:v>
                </c:pt>
              </c:numCache>
            </c:numRef>
          </c:val>
          <c:smooth val="0"/>
          <c:extLst>
            <c:ext xmlns:c16="http://schemas.microsoft.com/office/drawing/2014/chart" uri="{C3380CC4-5D6E-409C-BE32-E72D297353CC}">
              <c16:uniqueId val="{00000001-C9D3-4B5A-856F-13DECA501586}"/>
            </c:ext>
          </c:extLst>
        </c:ser>
        <c:ser>
          <c:idx val="2"/>
          <c:order val="2"/>
          <c:tx>
            <c:v>17</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Bag_Limit!$CG$49:$CR$49</c:f>
              <c:numCache>
                <c:formatCode>General</c:formatCode>
                <c:ptCount val="12"/>
                <c:pt idx="0">
                  <c:v>40</c:v>
                </c:pt>
                <c:pt idx="1">
                  <c:v>40</c:v>
                </c:pt>
                <c:pt idx="2">
                  <c:v>40</c:v>
                </c:pt>
                <c:pt idx="3">
                  <c:v>49.484536082474229</c:v>
                </c:pt>
                <c:pt idx="4">
                  <c:v>51.515151515151516</c:v>
                </c:pt>
                <c:pt idx="5">
                  <c:v>17.857142857142858</c:v>
                </c:pt>
                <c:pt idx="6">
                  <c:v>16.304347826086957</c:v>
                </c:pt>
                <c:pt idx="7">
                  <c:v>26.436781609195403</c:v>
                </c:pt>
                <c:pt idx="8">
                  <c:v>28.676470588235293</c:v>
                </c:pt>
                <c:pt idx="9">
                  <c:v>40.206185567010309</c:v>
                </c:pt>
                <c:pt idx="10">
                  <c:v>40.206185567010309</c:v>
                </c:pt>
                <c:pt idx="11">
                  <c:v>40.206185567010309</c:v>
                </c:pt>
              </c:numCache>
            </c:numRef>
          </c:val>
          <c:smooth val="0"/>
          <c:extLst>
            <c:ext xmlns:c16="http://schemas.microsoft.com/office/drawing/2014/chart" uri="{C3380CC4-5D6E-409C-BE32-E72D297353CC}">
              <c16:uniqueId val="{00000002-C9D3-4B5A-856F-13DECA501586}"/>
            </c:ext>
          </c:extLst>
        </c:ser>
        <c:ser>
          <c:idx val="3"/>
          <c:order val="3"/>
          <c:tx>
            <c:v>18</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Bag_Limit!$CG$50:$CR$50</c:f>
              <c:numCache>
                <c:formatCode>General</c:formatCode>
                <c:ptCount val="12"/>
                <c:pt idx="0">
                  <c:v>40</c:v>
                </c:pt>
                <c:pt idx="1">
                  <c:v>40</c:v>
                </c:pt>
                <c:pt idx="2">
                  <c:v>40</c:v>
                </c:pt>
                <c:pt idx="3">
                  <c:v>62.886597938144327</c:v>
                </c:pt>
                <c:pt idx="4">
                  <c:v>71.212121212121218</c:v>
                </c:pt>
                <c:pt idx="5">
                  <c:v>26.785714285714285</c:v>
                </c:pt>
                <c:pt idx="6">
                  <c:v>16.304347826086957</c:v>
                </c:pt>
                <c:pt idx="7">
                  <c:v>29.885057471264371</c:v>
                </c:pt>
                <c:pt idx="8">
                  <c:v>47.058823529411761</c:v>
                </c:pt>
                <c:pt idx="9">
                  <c:v>44.329896907216494</c:v>
                </c:pt>
                <c:pt idx="10">
                  <c:v>44.329896907216494</c:v>
                </c:pt>
                <c:pt idx="11">
                  <c:v>44.329896907216494</c:v>
                </c:pt>
              </c:numCache>
            </c:numRef>
          </c:val>
          <c:smooth val="0"/>
          <c:extLst>
            <c:ext xmlns:c16="http://schemas.microsoft.com/office/drawing/2014/chart" uri="{C3380CC4-5D6E-409C-BE32-E72D297353CC}">
              <c16:uniqueId val="{00000003-C9D3-4B5A-856F-13DECA501586}"/>
            </c:ext>
          </c:extLst>
        </c:ser>
        <c:ser>
          <c:idx val="4"/>
          <c:order val="4"/>
          <c:tx>
            <c:v>19</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Bag_Limit!$CG$51:$CR$51</c:f>
              <c:numCache>
                <c:formatCode>General</c:formatCode>
                <c:ptCount val="12"/>
                <c:pt idx="0">
                  <c:v>40</c:v>
                </c:pt>
                <c:pt idx="1">
                  <c:v>40</c:v>
                </c:pt>
                <c:pt idx="2">
                  <c:v>40</c:v>
                </c:pt>
                <c:pt idx="3">
                  <c:v>72.164948453608247</c:v>
                </c:pt>
                <c:pt idx="4">
                  <c:v>84.848484848484844</c:v>
                </c:pt>
                <c:pt idx="5">
                  <c:v>39.285714285714285</c:v>
                </c:pt>
                <c:pt idx="6">
                  <c:v>21.739130434782609</c:v>
                </c:pt>
                <c:pt idx="7">
                  <c:v>29.885057471264371</c:v>
                </c:pt>
                <c:pt idx="8">
                  <c:v>50.735294117647058</c:v>
                </c:pt>
                <c:pt idx="9">
                  <c:v>57.731958762886592</c:v>
                </c:pt>
                <c:pt idx="10">
                  <c:v>57.731958762886592</c:v>
                </c:pt>
                <c:pt idx="11">
                  <c:v>57.731958762886592</c:v>
                </c:pt>
              </c:numCache>
            </c:numRef>
          </c:val>
          <c:smooth val="0"/>
          <c:extLst>
            <c:ext xmlns:c16="http://schemas.microsoft.com/office/drawing/2014/chart" uri="{C3380CC4-5D6E-409C-BE32-E72D297353CC}">
              <c16:uniqueId val="{00000004-C9D3-4B5A-856F-13DECA501586}"/>
            </c:ext>
          </c:extLst>
        </c:ser>
        <c:ser>
          <c:idx val="5"/>
          <c:order val="5"/>
          <c:tx>
            <c:v>20</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Bag_Limit!$CG$52:$CR$52</c:f>
              <c:numCache>
                <c:formatCode>General</c:formatCode>
                <c:ptCount val="12"/>
                <c:pt idx="0">
                  <c:v>40</c:v>
                </c:pt>
                <c:pt idx="1">
                  <c:v>40</c:v>
                </c:pt>
                <c:pt idx="2">
                  <c:v>40</c:v>
                </c:pt>
                <c:pt idx="3">
                  <c:v>72.164948453608247</c:v>
                </c:pt>
                <c:pt idx="4">
                  <c:v>84.848484848484844</c:v>
                </c:pt>
                <c:pt idx="5">
                  <c:v>51.785714285714292</c:v>
                </c:pt>
                <c:pt idx="6">
                  <c:v>27.173913043478258</c:v>
                </c:pt>
                <c:pt idx="7">
                  <c:v>29.885057471264371</c:v>
                </c:pt>
                <c:pt idx="8">
                  <c:v>50.735294117647058</c:v>
                </c:pt>
                <c:pt idx="9">
                  <c:v>57.731958762886592</c:v>
                </c:pt>
                <c:pt idx="10">
                  <c:v>57.731958762886592</c:v>
                </c:pt>
                <c:pt idx="11">
                  <c:v>57.731958762886592</c:v>
                </c:pt>
              </c:numCache>
            </c:numRef>
          </c:val>
          <c:smooth val="0"/>
          <c:extLst>
            <c:ext xmlns:c16="http://schemas.microsoft.com/office/drawing/2014/chart" uri="{C3380CC4-5D6E-409C-BE32-E72D297353CC}">
              <c16:uniqueId val="{00000005-C9D3-4B5A-856F-13DECA501586}"/>
            </c:ext>
          </c:extLst>
        </c:ser>
        <c:dLbls>
          <c:showLegendKey val="0"/>
          <c:showVal val="0"/>
          <c:showCatName val="0"/>
          <c:showSerName val="0"/>
          <c:showPercent val="0"/>
          <c:showBubbleSize val="0"/>
        </c:dLbls>
        <c:smooth val="0"/>
        <c:axId val="646266880"/>
        <c:axId val="644438208"/>
      </c:lineChart>
      <c:catAx>
        <c:axId val="646266880"/>
        <c:scaling>
          <c:orientation val="minMax"/>
        </c:scaling>
        <c:delete val="0"/>
        <c:axPos val="b"/>
        <c:title>
          <c:tx>
            <c:rich>
              <a:bodyPr/>
              <a:lstStyle/>
              <a:p>
                <a:pPr>
                  <a:defRPr/>
                </a:pPr>
                <a:r>
                  <a:rPr lang="en-US"/>
                  <a:t>Month</a:t>
                </a:r>
              </a:p>
            </c:rich>
          </c:tx>
          <c:overlay val="0"/>
        </c:title>
        <c:numFmt formatCode="General" sourceLinked="1"/>
        <c:majorTickMark val="out"/>
        <c:minorTickMark val="none"/>
        <c:tickLblPos val="nextTo"/>
        <c:crossAx val="644438208"/>
        <c:crosses val="autoZero"/>
        <c:auto val="1"/>
        <c:lblAlgn val="ctr"/>
        <c:lblOffset val="100"/>
        <c:noMultiLvlLbl val="0"/>
      </c:catAx>
      <c:valAx>
        <c:axId val="644438208"/>
        <c:scaling>
          <c:orientation val="minMax"/>
        </c:scaling>
        <c:delete val="0"/>
        <c:axPos val="l"/>
        <c:title>
          <c:tx>
            <c:rich>
              <a:bodyPr rot="-5400000" vert="horz"/>
              <a:lstStyle/>
              <a:p>
                <a:pPr>
                  <a:defRPr/>
                </a:pPr>
                <a:r>
                  <a:rPr lang="en-US"/>
                  <a:t>Percent Reduction</a:t>
                </a:r>
              </a:p>
            </c:rich>
          </c:tx>
          <c:layout>
            <c:manualLayout>
              <c:xMode val="edge"/>
              <c:yMode val="edge"/>
              <c:x val="0"/>
              <c:y val="0.29627761068009034"/>
            </c:manualLayout>
          </c:layout>
          <c:overlay val="0"/>
        </c:title>
        <c:numFmt formatCode="General" sourceLinked="1"/>
        <c:majorTickMark val="out"/>
        <c:minorTickMark val="none"/>
        <c:tickLblPos val="nextTo"/>
        <c:crossAx val="646266880"/>
        <c:crosses val="autoZero"/>
        <c:crossBetween val="between"/>
      </c:valAx>
    </c:plotArea>
    <c:legend>
      <c:legendPos val="r"/>
      <c:overlay val="0"/>
    </c:legend>
    <c:plotVisOnly val="1"/>
    <c:dispBlanksAs val="gap"/>
    <c:showDLblsOverMax val="0"/>
  </c:chart>
  <c:spPr>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30225221159253"/>
          <c:y val="5.8440361112985471E-2"/>
          <c:w val="0.72996724745634689"/>
          <c:h val="0.65829797414301694"/>
        </c:manualLayout>
      </c:layout>
      <c:barChart>
        <c:barDir val="col"/>
        <c:grouping val="clustered"/>
        <c:varyColors val="0"/>
        <c:ser>
          <c:idx val="0"/>
          <c:order val="0"/>
          <c:tx>
            <c:strRef>
              <c:f>Vessel_Limit!$BO$32</c:f>
              <c:strCache>
                <c:ptCount val="1"/>
                <c:pt idx="0">
                  <c:v>Private 2017-2019</c:v>
                </c:pt>
              </c:strCache>
            </c:strRef>
          </c:tx>
          <c:spPr>
            <a:solidFill>
              <a:schemeClr val="bg1">
                <a:lumMod val="50000"/>
              </a:schemeClr>
            </a:solidFill>
            <a:ln>
              <a:noFill/>
            </a:ln>
            <a:effectLst/>
          </c:spPr>
          <c:invertIfNegative val="0"/>
          <c:cat>
            <c:strRef>
              <c:f>Vessel_Limit!$BL$34:$BL$41</c:f>
              <c:strCache>
                <c:ptCount val="8"/>
                <c:pt idx="0">
                  <c:v>1</c:v>
                </c:pt>
                <c:pt idx="1">
                  <c:v>2</c:v>
                </c:pt>
                <c:pt idx="2">
                  <c:v>3</c:v>
                </c:pt>
                <c:pt idx="3">
                  <c:v>4</c:v>
                </c:pt>
                <c:pt idx="4">
                  <c:v>5</c:v>
                </c:pt>
                <c:pt idx="5">
                  <c:v>6</c:v>
                </c:pt>
                <c:pt idx="6">
                  <c:v>7-9</c:v>
                </c:pt>
                <c:pt idx="7">
                  <c:v>10+</c:v>
                </c:pt>
              </c:strCache>
            </c:strRef>
          </c:cat>
          <c:val>
            <c:numRef>
              <c:f>Vessel_Limit!$BO$34:$BO$41</c:f>
              <c:numCache>
                <c:formatCode>0%</c:formatCode>
                <c:ptCount val="8"/>
                <c:pt idx="0">
                  <c:v>0.93</c:v>
                </c:pt>
                <c:pt idx="1">
                  <c:v>0.04</c:v>
                </c:pt>
                <c:pt idx="2">
                  <c:v>0.04</c:v>
                </c:pt>
                <c:pt idx="3">
                  <c:v>0</c:v>
                </c:pt>
                <c:pt idx="4">
                  <c:v>0</c:v>
                </c:pt>
                <c:pt idx="5">
                  <c:v>0</c:v>
                </c:pt>
                <c:pt idx="6">
                  <c:v>0</c:v>
                </c:pt>
                <c:pt idx="7">
                  <c:v>0</c:v>
                </c:pt>
              </c:numCache>
            </c:numRef>
          </c:val>
          <c:extLst>
            <c:ext xmlns:c16="http://schemas.microsoft.com/office/drawing/2014/chart" uri="{C3380CC4-5D6E-409C-BE32-E72D297353CC}">
              <c16:uniqueId val="{00000001-E121-4195-98C8-CC84EC4CE902}"/>
            </c:ext>
          </c:extLst>
        </c:ser>
        <c:ser>
          <c:idx val="1"/>
          <c:order val="1"/>
          <c:tx>
            <c:strRef>
              <c:f>Vessel_Limit!$BP$32</c:f>
              <c:strCache>
                <c:ptCount val="1"/>
                <c:pt idx="0">
                  <c:v>Charter 2017-2019</c:v>
                </c:pt>
              </c:strCache>
            </c:strRef>
          </c:tx>
          <c:spPr>
            <a:solidFill>
              <a:schemeClr val="tx1"/>
            </a:solidFill>
            <a:ln>
              <a:solidFill>
                <a:schemeClr val="tx1"/>
              </a:solidFill>
            </a:ln>
            <a:effectLst/>
          </c:spPr>
          <c:invertIfNegative val="0"/>
          <c:cat>
            <c:strRef>
              <c:f>Vessel_Limit!$BL$34:$BL$41</c:f>
              <c:strCache>
                <c:ptCount val="8"/>
                <c:pt idx="0">
                  <c:v>1</c:v>
                </c:pt>
                <c:pt idx="1">
                  <c:v>2</c:v>
                </c:pt>
                <c:pt idx="2">
                  <c:v>3</c:v>
                </c:pt>
                <c:pt idx="3">
                  <c:v>4</c:v>
                </c:pt>
                <c:pt idx="4">
                  <c:v>5</c:v>
                </c:pt>
                <c:pt idx="5">
                  <c:v>6</c:v>
                </c:pt>
                <c:pt idx="6">
                  <c:v>7-9</c:v>
                </c:pt>
                <c:pt idx="7">
                  <c:v>10+</c:v>
                </c:pt>
              </c:strCache>
            </c:strRef>
          </c:cat>
          <c:val>
            <c:numRef>
              <c:f>Vessel_Limit!$BP$34:$BP$41</c:f>
              <c:numCache>
                <c:formatCode>0%</c:formatCode>
                <c:ptCount val="8"/>
                <c:pt idx="0">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E121-4195-98C8-CC84EC4CE902}"/>
            </c:ext>
          </c:extLst>
        </c:ser>
        <c:ser>
          <c:idx val="2"/>
          <c:order val="2"/>
          <c:tx>
            <c:strRef>
              <c:f>Vessel_Limit!$BQ$32</c:f>
              <c:strCache>
                <c:ptCount val="1"/>
                <c:pt idx="0">
                  <c:v>Headboat 2017-2019</c:v>
                </c:pt>
              </c:strCache>
            </c:strRef>
          </c:tx>
          <c:spPr>
            <a:solidFill>
              <a:schemeClr val="bg1"/>
            </a:solidFill>
            <a:ln>
              <a:solidFill>
                <a:sysClr val="windowText" lastClr="000000"/>
              </a:solidFill>
            </a:ln>
            <a:effectLst/>
          </c:spPr>
          <c:invertIfNegative val="0"/>
          <c:cat>
            <c:strRef>
              <c:f>Vessel_Limit!$BL$34:$BL$41</c:f>
              <c:strCache>
                <c:ptCount val="8"/>
                <c:pt idx="0">
                  <c:v>1</c:v>
                </c:pt>
                <c:pt idx="1">
                  <c:v>2</c:v>
                </c:pt>
                <c:pt idx="2">
                  <c:v>3</c:v>
                </c:pt>
                <c:pt idx="3">
                  <c:v>4</c:v>
                </c:pt>
                <c:pt idx="4">
                  <c:v>5</c:v>
                </c:pt>
                <c:pt idx="5">
                  <c:v>6</c:v>
                </c:pt>
                <c:pt idx="6">
                  <c:v>7-9</c:v>
                </c:pt>
                <c:pt idx="7">
                  <c:v>10+</c:v>
                </c:pt>
              </c:strCache>
            </c:strRef>
          </c:cat>
          <c:val>
            <c:numRef>
              <c:f>Vessel_Limit!$BQ$34:$BQ$41</c:f>
              <c:numCache>
                <c:formatCode>0%</c:formatCode>
                <c:ptCount val="8"/>
                <c:pt idx="0">
                  <c:v>0.50694444444444442</c:v>
                </c:pt>
                <c:pt idx="1">
                  <c:v>0.29166666666666669</c:v>
                </c:pt>
                <c:pt idx="2">
                  <c:v>6.9444444444444448E-2</c:v>
                </c:pt>
                <c:pt idx="3">
                  <c:v>8.3333333333333329E-2</c:v>
                </c:pt>
                <c:pt idx="4">
                  <c:v>1.3888888888888888E-2</c:v>
                </c:pt>
                <c:pt idx="5">
                  <c:v>0</c:v>
                </c:pt>
                <c:pt idx="6">
                  <c:v>2.7777777777777776E-2</c:v>
                </c:pt>
                <c:pt idx="7">
                  <c:v>6.9444444444444441E-3</c:v>
                </c:pt>
              </c:numCache>
            </c:numRef>
          </c:val>
          <c:extLst>
            <c:ext xmlns:c16="http://schemas.microsoft.com/office/drawing/2014/chart" uri="{C3380CC4-5D6E-409C-BE32-E72D297353CC}">
              <c16:uniqueId val="{00000000-E6FC-4863-9512-09E2B9FBD88D}"/>
            </c:ext>
          </c:extLst>
        </c:ser>
        <c:dLbls>
          <c:showLegendKey val="0"/>
          <c:showVal val="0"/>
          <c:showCatName val="0"/>
          <c:showSerName val="0"/>
          <c:showPercent val="0"/>
          <c:showBubbleSize val="0"/>
        </c:dLbls>
        <c:gapWidth val="219"/>
        <c:overlap val="-27"/>
        <c:axId val="2059672816"/>
        <c:axId val="2059668656"/>
      </c:barChart>
      <c:catAx>
        <c:axId val="2059672816"/>
        <c:scaling>
          <c:orientation val="minMax"/>
        </c:scaling>
        <c:delete val="0"/>
        <c:axPos val="b"/>
        <c:title>
          <c:tx>
            <c:rich>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Harvest Per Vessel</a:t>
                </a:r>
              </a:p>
            </c:rich>
          </c:tx>
          <c:layout>
            <c:manualLayout>
              <c:xMode val="edge"/>
              <c:yMode val="edge"/>
              <c:x val="0.43043463830125195"/>
              <c:y val="0.81344345055340261"/>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68656"/>
        <c:crosses val="autoZero"/>
        <c:auto val="1"/>
        <c:lblAlgn val="ctr"/>
        <c:lblOffset val="100"/>
        <c:noMultiLvlLbl val="0"/>
      </c:catAx>
      <c:valAx>
        <c:axId val="2059668656"/>
        <c:scaling>
          <c:orientation val="minMax"/>
          <c:max val="1"/>
        </c:scaling>
        <c:delete val="0"/>
        <c:axPos val="l"/>
        <c:title>
          <c:tx>
            <c:rich>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Percentage of Trips</a:t>
                </a:r>
              </a:p>
            </c:rich>
          </c:tx>
          <c:layout>
            <c:manualLayout>
              <c:xMode val="edge"/>
              <c:yMode val="edge"/>
              <c:x val="6.9782286709668406E-2"/>
              <c:y val="0.158712898738387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72816"/>
        <c:crosses val="autoZero"/>
        <c:crossBetween val="between"/>
      </c:valAx>
      <c:spPr>
        <a:noFill/>
        <a:ln>
          <a:noFill/>
        </a:ln>
        <a:effectLst/>
      </c:spPr>
    </c:plotArea>
    <c:legend>
      <c:legendPos val="r"/>
      <c:layout>
        <c:manualLayout>
          <c:xMode val="edge"/>
          <c:yMode val="edge"/>
          <c:x val="0.64626450389664891"/>
          <c:y val="0.15920697077607501"/>
          <c:w val="0.22289806843850687"/>
          <c:h val="0.25978357755882664"/>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30225221159253"/>
          <c:y val="5.8440361112985471E-2"/>
          <c:w val="0.72996724745634689"/>
          <c:h val="0.65829797414301694"/>
        </c:manualLayout>
      </c:layout>
      <c:barChart>
        <c:barDir val="col"/>
        <c:grouping val="clustered"/>
        <c:varyColors val="0"/>
        <c:ser>
          <c:idx val="2"/>
          <c:order val="0"/>
          <c:tx>
            <c:strRef>
              <c:f>Vessel_Limit!$CB$32</c:f>
              <c:strCache>
                <c:ptCount val="1"/>
                <c:pt idx="0">
                  <c:v>Private 2017-2019</c:v>
                </c:pt>
              </c:strCache>
            </c:strRef>
          </c:tx>
          <c:spPr>
            <a:solidFill>
              <a:schemeClr val="bg1">
                <a:lumMod val="50000"/>
              </a:schemeClr>
            </a:solidFill>
            <a:ln>
              <a:solidFill>
                <a:schemeClr val="bg1">
                  <a:lumMod val="50000"/>
                </a:schemeClr>
              </a:solidFill>
            </a:ln>
            <a:effectLst/>
          </c:spPr>
          <c:invertIfNegative val="0"/>
          <c:val>
            <c:numRef>
              <c:f>Vessel_Limit!$CB$33:$CB$41</c:f>
              <c:numCache>
                <c:formatCode>0%</c:formatCode>
                <c:ptCount val="9"/>
                <c:pt idx="0">
                  <c:v>0.19047619047619047</c:v>
                </c:pt>
                <c:pt idx="1">
                  <c:v>0.52380952380952384</c:v>
                </c:pt>
                <c:pt idx="2">
                  <c:v>0.14285714285714285</c:v>
                </c:pt>
                <c:pt idx="3">
                  <c:v>9.5238095238095233E-2</c:v>
                </c:pt>
                <c:pt idx="4">
                  <c:v>0</c:v>
                </c:pt>
                <c:pt idx="5">
                  <c:v>4.7619047619047616E-2</c:v>
                </c:pt>
                <c:pt idx="6">
                  <c:v>0</c:v>
                </c:pt>
                <c:pt idx="7">
                  <c:v>0</c:v>
                </c:pt>
                <c:pt idx="8">
                  <c:v>0</c:v>
                </c:pt>
              </c:numCache>
            </c:numRef>
          </c:val>
          <c:extLst>
            <c:ext xmlns:c16="http://schemas.microsoft.com/office/drawing/2014/chart" uri="{C3380CC4-5D6E-409C-BE32-E72D297353CC}">
              <c16:uniqueId val="{00000002-D49C-47C7-B6F6-AE7BE47C22CC}"/>
            </c:ext>
          </c:extLst>
        </c:ser>
        <c:ser>
          <c:idx val="0"/>
          <c:order val="1"/>
          <c:tx>
            <c:strRef>
              <c:f>Vessel_Limit!$CA$32</c:f>
              <c:strCache>
                <c:ptCount val="1"/>
                <c:pt idx="0">
                  <c:v>Charter 2017-2019</c:v>
                </c:pt>
              </c:strCache>
            </c:strRef>
          </c:tx>
          <c:spPr>
            <a:solidFill>
              <a:schemeClr val="tx1"/>
            </a:solidFill>
            <a:ln>
              <a:noFill/>
            </a:ln>
            <a:effectLst/>
          </c:spPr>
          <c:invertIfNegative val="0"/>
          <c:cat>
            <c:strRef>
              <c:f>Vessel_Limit!$BZ$33:$BZ$41</c:f>
              <c:strCache>
                <c:ptCount val="9"/>
                <c:pt idx="0">
                  <c:v>&lt;1</c:v>
                </c:pt>
                <c:pt idx="1">
                  <c:v>1</c:v>
                </c:pt>
                <c:pt idx="2">
                  <c:v>2</c:v>
                </c:pt>
                <c:pt idx="3">
                  <c:v>3</c:v>
                </c:pt>
                <c:pt idx="4">
                  <c:v>4</c:v>
                </c:pt>
                <c:pt idx="5">
                  <c:v>5</c:v>
                </c:pt>
                <c:pt idx="6">
                  <c:v>6</c:v>
                </c:pt>
                <c:pt idx="7">
                  <c:v>7-9</c:v>
                </c:pt>
                <c:pt idx="8">
                  <c:v>10+</c:v>
                </c:pt>
              </c:strCache>
            </c:strRef>
          </c:cat>
          <c:val>
            <c:numRef>
              <c:f>Vessel_Limit!$CA$33:$CA$41</c:f>
              <c:numCache>
                <c:formatCode>0%</c:formatCode>
                <c:ptCount val="9"/>
                <c:pt idx="0">
                  <c:v>0.39393939393939392</c:v>
                </c:pt>
                <c:pt idx="1">
                  <c:v>0.42424242424242425</c:v>
                </c:pt>
                <c:pt idx="2">
                  <c:v>6.0606060606060608E-2</c:v>
                </c:pt>
                <c:pt idx="3">
                  <c:v>9.0909090909090912E-2</c:v>
                </c:pt>
                <c:pt idx="4">
                  <c:v>3.0303030303030304E-2</c:v>
                </c:pt>
                <c:pt idx="5">
                  <c:v>0</c:v>
                </c:pt>
                <c:pt idx="6">
                  <c:v>0</c:v>
                </c:pt>
                <c:pt idx="7">
                  <c:v>0</c:v>
                </c:pt>
                <c:pt idx="8">
                  <c:v>0</c:v>
                </c:pt>
              </c:numCache>
            </c:numRef>
          </c:val>
          <c:extLst>
            <c:ext xmlns:c16="http://schemas.microsoft.com/office/drawing/2014/chart" uri="{C3380CC4-5D6E-409C-BE32-E72D297353CC}">
              <c16:uniqueId val="{00000000-D49C-47C7-B6F6-AE7BE47C22CC}"/>
            </c:ext>
          </c:extLst>
        </c:ser>
        <c:ser>
          <c:idx val="1"/>
          <c:order val="2"/>
          <c:tx>
            <c:strRef>
              <c:f>Vessel_Limit!$CC$32</c:f>
              <c:strCache>
                <c:ptCount val="1"/>
                <c:pt idx="0">
                  <c:v>Headboat 2017-2019</c:v>
                </c:pt>
              </c:strCache>
            </c:strRef>
          </c:tx>
          <c:spPr>
            <a:solidFill>
              <a:schemeClr val="bg1"/>
            </a:solidFill>
            <a:ln>
              <a:solidFill>
                <a:schemeClr val="tx1"/>
              </a:solidFill>
            </a:ln>
            <a:effectLst/>
          </c:spPr>
          <c:invertIfNegative val="0"/>
          <c:cat>
            <c:strRef>
              <c:f>Vessel_Limit!$BZ$33:$BZ$41</c:f>
              <c:strCache>
                <c:ptCount val="9"/>
                <c:pt idx="0">
                  <c:v>&lt;1</c:v>
                </c:pt>
                <c:pt idx="1">
                  <c:v>1</c:v>
                </c:pt>
                <c:pt idx="2">
                  <c:v>2</c:v>
                </c:pt>
                <c:pt idx="3">
                  <c:v>3</c:v>
                </c:pt>
                <c:pt idx="4">
                  <c:v>4</c:v>
                </c:pt>
                <c:pt idx="5">
                  <c:v>5</c:v>
                </c:pt>
                <c:pt idx="6">
                  <c:v>6</c:v>
                </c:pt>
                <c:pt idx="7">
                  <c:v>7-9</c:v>
                </c:pt>
                <c:pt idx="8">
                  <c:v>10+</c:v>
                </c:pt>
              </c:strCache>
            </c:strRef>
          </c:cat>
          <c:val>
            <c:numRef>
              <c:f>Vessel_Limit!$CC$33:$CC$41</c:f>
              <c:numCache>
                <c:formatCode>0%</c:formatCode>
                <c:ptCount val="9"/>
                <c:pt idx="0">
                  <c:v>0</c:v>
                </c:pt>
                <c:pt idx="1">
                  <c:v>0.56395995550611788</c:v>
                </c:pt>
                <c:pt idx="2">
                  <c:v>0.20355951056729699</c:v>
                </c:pt>
                <c:pt idx="3">
                  <c:v>9.2324805339265847E-2</c:v>
                </c:pt>
                <c:pt idx="4">
                  <c:v>7.0077864293659628E-2</c:v>
                </c:pt>
                <c:pt idx="5">
                  <c:v>1.7797552836484983E-2</c:v>
                </c:pt>
                <c:pt idx="6">
                  <c:v>2.5583982202447165E-2</c:v>
                </c:pt>
                <c:pt idx="7">
                  <c:v>8.8987764182424916E-3</c:v>
                </c:pt>
                <c:pt idx="8">
                  <c:v>1.7797552836484983E-2</c:v>
                </c:pt>
              </c:numCache>
            </c:numRef>
          </c:val>
          <c:extLst>
            <c:ext xmlns:c16="http://schemas.microsoft.com/office/drawing/2014/chart" uri="{C3380CC4-5D6E-409C-BE32-E72D297353CC}">
              <c16:uniqueId val="{00000001-D49C-47C7-B6F6-AE7BE47C22CC}"/>
            </c:ext>
          </c:extLst>
        </c:ser>
        <c:dLbls>
          <c:showLegendKey val="0"/>
          <c:showVal val="0"/>
          <c:showCatName val="0"/>
          <c:showSerName val="0"/>
          <c:showPercent val="0"/>
          <c:showBubbleSize val="0"/>
        </c:dLbls>
        <c:gapWidth val="219"/>
        <c:overlap val="-27"/>
        <c:axId val="2059672816"/>
        <c:axId val="2059668656"/>
      </c:barChart>
      <c:catAx>
        <c:axId val="2059672816"/>
        <c:scaling>
          <c:orientation val="minMax"/>
        </c:scaling>
        <c:delete val="0"/>
        <c:axPos val="b"/>
        <c:title>
          <c:tx>
            <c:rich>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Harvest Per Vessel</a:t>
                </a:r>
              </a:p>
            </c:rich>
          </c:tx>
          <c:layout>
            <c:manualLayout>
              <c:xMode val="edge"/>
              <c:yMode val="edge"/>
              <c:x val="0.43043463830125195"/>
              <c:y val="0.81344345055340261"/>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68656"/>
        <c:crosses val="autoZero"/>
        <c:auto val="1"/>
        <c:lblAlgn val="ctr"/>
        <c:lblOffset val="100"/>
        <c:noMultiLvlLbl val="0"/>
      </c:catAx>
      <c:valAx>
        <c:axId val="2059668656"/>
        <c:scaling>
          <c:orientation val="minMax"/>
        </c:scaling>
        <c:delete val="0"/>
        <c:axPos val="l"/>
        <c:title>
          <c:tx>
            <c:rich>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Percentage of Trips</a:t>
                </a:r>
              </a:p>
            </c:rich>
          </c:tx>
          <c:layout>
            <c:manualLayout>
              <c:xMode val="edge"/>
              <c:yMode val="edge"/>
              <c:x val="6.9782286709668406E-2"/>
              <c:y val="0.158712898738387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72816"/>
        <c:crosses val="autoZero"/>
        <c:crossBetween val="between"/>
      </c:valAx>
      <c:spPr>
        <a:noFill/>
        <a:ln>
          <a:noFill/>
        </a:ln>
        <a:effectLst/>
      </c:spPr>
    </c:plotArea>
    <c:legend>
      <c:legendPos val="r"/>
      <c:layout>
        <c:manualLayout>
          <c:xMode val="edge"/>
          <c:yMode val="edge"/>
          <c:x val="0.64626450389664891"/>
          <c:y val="0.15920697077607501"/>
          <c:w val="0.2225322227414572"/>
          <c:h val="0.24460986351823794"/>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30225221159253"/>
          <c:y val="5.8440361112985471E-2"/>
          <c:w val="0.72996724745634689"/>
          <c:h val="0.65829797414301694"/>
        </c:manualLayout>
      </c:layout>
      <c:barChart>
        <c:barDir val="col"/>
        <c:grouping val="clustered"/>
        <c:varyColors val="0"/>
        <c:ser>
          <c:idx val="0"/>
          <c:order val="0"/>
          <c:tx>
            <c:strRef>
              <c:f>Vessel_Limit!$BM$47</c:f>
              <c:strCache>
                <c:ptCount val="1"/>
                <c:pt idx="0">
                  <c:v>Private 2017-2019</c:v>
                </c:pt>
              </c:strCache>
            </c:strRef>
          </c:tx>
          <c:spPr>
            <a:solidFill>
              <a:schemeClr val="bg1">
                <a:lumMod val="50000"/>
              </a:schemeClr>
            </a:solidFill>
            <a:ln>
              <a:noFill/>
            </a:ln>
            <a:effectLst/>
          </c:spPr>
          <c:invertIfNegative val="0"/>
          <c:cat>
            <c:strRef>
              <c:f>Vessel_Limit!$BL$48:$BL$50</c:f>
              <c:strCache>
                <c:ptCount val="3"/>
                <c:pt idx="0">
                  <c:v>&lt;1</c:v>
                </c:pt>
                <c:pt idx="1">
                  <c:v>1</c:v>
                </c:pt>
                <c:pt idx="2">
                  <c:v>2</c:v>
                </c:pt>
              </c:strCache>
            </c:strRef>
          </c:cat>
          <c:val>
            <c:numRef>
              <c:f>Vessel_Limit!$BM$48:$BM$50</c:f>
              <c:numCache>
                <c:formatCode>0%</c:formatCode>
                <c:ptCount val="3"/>
                <c:pt idx="0">
                  <c:v>0.96296296296296291</c:v>
                </c:pt>
                <c:pt idx="1">
                  <c:v>3.7037037037037035E-2</c:v>
                </c:pt>
                <c:pt idx="2">
                  <c:v>0</c:v>
                </c:pt>
              </c:numCache>
            </c:numRef>
          </c:val>
          <c:extLst>
            <c:ext xmlns:c16="http://schemas.microsoft.com/office/drawing/2014/chart" uri="{C3380CC4-5D6E-409C-BE32-E72D297353CC}">
              <c16:uniqueId val="{00000000-29B0-4018-8882-D3EABBAC2313}"/>
            </c:ext>
          </c:extLst>
        </c:ser>
        <c:ser>
          <c:idx val="1"/>
          <c:order val="1"/>
          <c:tx>
            <c:strRef>
              <c:f>Vessel_Limit!$BN$47</c:f>
              <c:strCache>
                <c:ptCount val="1"/>
                <c:pt idx="0">
                  <c:v>Charter 2017-2019</c:v>
                </c:pt>
              </c:strCache>
            </c:strRef>
          </c:tx>
          <c:spPr>
            <a:solidFill>
              <a:schemeClr val="tx1"/>
            </a:solidFill>
            <a:ln>
              <a:solidFill>
                <a:schemeClr val="tx1"/>
              </a:solidFill>
            </a:ln>
            <a:effectLst/>
          </c:spPr>
          <c:invertIfNegative val="0"/>
          <c:cat>
            <c:strRef>
              <c:f>Vessel_Limit!$BL$48:$BL$50</c:f>
              <c:strCache>
                <c:ptCount val="3"/>
                <c:pt idx="0">
                  <c:v>&lt;1</c:v>
                </c:pt>
                <c:pt idx="1">
                  <c:v>1</c:v>
                </c:pt>
                <c:pt idx="2">
                  <c:v>2</c:v>
                </c:pt>
              </c:strCache>
            </c:strRef>
          </c:cat>
          <c:val>
            <c:numRef>
              <c:f>Vessel_Limit!$BN$48:$BN$50</c:f>
              <c:numCache>
                <c:formatCode>0%</c:formatCode>
                <c:ptCount val="3"/>
                <c:pt idx="0">
                  <c:v>1</c:v>
                </c:pt>
                <c:pt idx="1">
                  <c:v>0</c:v>
                </c:pt>
                <c:pt idx="2">
                  <c:v>0</c:v>
                </c:pt>
              </c:numCache>
            </c:numRef>
          </c:val>
          <c:extLst>
            <c:ext xmlns:c16="http://schemas.microsoft.com/office/drawing/2014/chart" uri="{C3380CC4-5D6E-409C-BE32-E72D297353CC}">
              <c16:uniqueId val="{00000001-29B0-4018-8882-D3EABBAC2313}"/>
            </c:ext>
          </c:extLst>
        </c:ser>
        <c:ser>
          <c:idx val="2"/>
          <c:order val="2"/>
          <c:tx>
            <c:strRef>
              <c:f>Vessel_Limit!$BO$47</c:f>
              <c:strCache>
                <c:ptCount val="1"/>
                <c:pt idx="0">
                  <c:v>Headboat 2017-2019</c:v>
                </c:pt>
              </c:strCache>
            </c:strRef>
          </c:tx>
          <c:spPr>
            <a:solidFill>
              <a:schemeClr val="bg1"/>
            </a:solidFill>
            <a:ln>
              <a:solidFill>
                <a:sysClr val="windowText" lastClr="000000"/>
              </a:solidFill>
            </a:ln>
            <a:effectLst/>
          </c:spPr>
          <c:invertIfNegative val="0"/>
          <c:cat>
            <c:strRef>
              <c:f>Vessel_Limit!$BL$48:$BL$50</c:f>
              <c:strCache>
                <c:ptCount val="3"/>
                <c:pt idx="0">
                  <c:v>&lt;1</c:v>
                </c:pt>
                <c:pt idx="1">
                  <c:v>1</c:v>
                </c:pt>
                <c:pt idx="2">
                  <c:v>2</c:v>
                </c:pt>
              </c:strCache>
            </c:strRef>
          </c:cat>
          <c:val>
            <c:numRef>
              <c:f>Vessel_Limit!$BO$48:$BO$50</c:f>
              <c:numCache>
                <c:formatCode>0%</c:formatCode>
                <c:ptCount val="3"/>
                <c:pt idx="0">
                  <c:v>1</c:v>
                </c:pt>
                <c:pt idx="1">
                  <c:v>0</c:v>
                </c:pt>
                <c:pt idx="2">
                  <c:v>0</c:v>
                </c:pt>
              </c:numCache>
            </c:numRef>
          </c:val>
          <c:extLst>
            <c:ext xmlns:c16="http://schemas.microsoft.com/office/drawing/2014/chart" uri="{C3380CC4-5D6E-409C-BE32-E72D297353CC}">
              <c16:uniqueId val="{00000002-29B0-4018-8882-D3EABBAC2313}"/>
            </c:ext>
          </c:extLst>
        </c:ser>
        <c:dLbls>
          <c:showLegendKey val="0"/>
          <c:showVal val="0"/>
          <c:showCatName val="0"/>
          <c:showSerName val="0"/>
          <c:showPercent val="0"/>
          <c:showBubbleSize val="0"/>
        </c:dLbls>
        <c:gapWidth val="219"/>
        <c:overlap val="-27"/>
        <c:axId val="2059672816"/>
        <c:axId val="2059668656"/>
      </c:barChart>
      <c:catAx>
        <c:axId val="2059672816"/>
        <c:scaling>
          <c:orientation val="minMax"/>
        </c:scaling>
        <c:delete val="0"/>
        <c:axPos val="b"/>
        <c:title>
          <c:tx>
            <c:rich>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Harvest Per Person</a:t>
                </a:r>
              </a:p>
            </c:rich>
          </c:tx>
          <c:layout>
            <c:manualLayout>
              <c:xMode val="edge"/>
              <c:yMode val="edge"/>
              <c:x val="0.43043463830125195"/>
              <c:y val="0.81344345055340261"/>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68656"/>
        <c:crosses val="autoZero"/>
        <c:auto val="1"/>
        <c:lblAlgn val="ctr"/>
        <c:lblOffset val="100"/>
        <c:noMultiLvlLbl val="0"/>
      </c:catAx>
      <c:valAx>
        <c:axId val="2059668656"/>
        <c:scaling>
          <c:orientation val="minMax"/>
        </c:scaling>
        <c:delete val="0"/>
        <c:axPos val="l"/>
        <c:title>
          <c:tx>
            <c:rich>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Percentage of Trips</a:t>
                </a:r>
              </a:p>
            </c:rich>
          </c:tx>
          <c:layout>
            <c:manualLayout>
              <c:xMode val="edge"/>
              <c:yMode val="edge"/>
              <c:x val="6.9782286709668406E-2"/>
              <c:y val="0.158712898738387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72816"/>
        <c:crosses val="autoZero"/>
        <c:crossBetween val="between"/>
      </c:valAx>
      <c:spPr>
        <a:noFill/>
        <a:ln>
          <a:noFill/>
        </a:ln>
        <a:effectLst/>
      </c:spPr>
    </c:plotArea>
    <c:legend>
      <c:legendPos val="r"/>
      <c:layout>
        <c:manualLayout>
          <c:xMode val="edge"/>
          <c:yMode val="edge"/>
          <c:x val="0.64626450389664891"/>
          <c:y val="0.15920697077607501"/>
          <c:w val="0.22289809683646089"/>
          <c:h val="0.21771791142489613"/>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2" dropStyle="combo" dx="23" fmlaLink="Inputs!$B$38" fmlaRange="Inputs!$B$4:$B$35" noThreeD="1" sel="32" val="0"/>
</file>

<file path=xl/ctrlProps/ctrlProp10.xml><?xml version="1.0" encoding="utf-8"?>
<formControlPr xmlns="http://schemas.microsoft.com/office/spreadsheetml/2009/9/main" objectType="Drop" dropLines="32" dropStyle="combo" dx="23" fmlaLink="Inputs!$K$38" fmlaRange="Inputs!$K$4:$K$35" noThreeD="1" sel="1" val="0"/>
</file>

<file path=xl/ctrlProps/ctrlProp11.xml><?xml version="1.0" encoding="utf-8"?>
<formControlPr xmlns="http://schemas.microsoft.com/office/spreadsheetml/2009/9/main" objectType="Drop" dropLines="31" dropStyle="combo" dx="23" fmlaLink="Inputs!$L$38" fmlaRange="Inputs!$L$4:$L$35" noThreeD="1" sel="1" val="0"/>
</file>

<file path=xl/ctrlProps/ctrlProp12.xml><?xml version="1.0" encoding="utf-8"?>
<formControlPr xmlns="http://schemas.microsoft.com/office/spreadsheetml/2009/9/main" objectType="Drop" dropLines="32" dropStyle="combo" dx="23" fmlaLink="Inputs!$M$38" fmlaRange="Inputs!$M$4:$M$35" noThreeD="1" sel="1" val="0"/>
</file>

<file path=xl/ctrlProps/ctrlProp13.xml><?xml version="1.0" encoding="utf-8"?>
<formControlPr xmlns="http://schemas.microsoft.com/office/spreadsheetml/2009/9/main" objectType="Drop" dropLines="7" dropStyle="combo" dx="23" fmlaLink="Inputs!$S$5" fmlaRange="Inputs!$T$2:$T$4" noThreeD="1" sel="2" val="0"/>
</file>

<file path=xl/ctrlProps/ctrlProp14.xml><?xml version="1.0" encoding="utf-8"?>
<formControlPr xmlns="http://schemas.microsoft.com/office/spreadsheetml/2009/9/main" objectType="Drop" dropLines="20" dropStyle="combo" dx="23" fmlaLink="Inputs!$AE$5" fmlaRange="Inputs!$AE$2:$AE$4" noThreeD="1" sel="1" val="0"/>
</file>

<file path=xl/ctrlProps/ctrlProp15.xml><?xml version="1.0" encoding="utf-8"?>
<formControlPr xmlns="http://schemas.microsoft.com/office/spreadsheetml/2009/9/main" objectType="Drop" dropLines="20" dropStyle="combo" dx="23" fmlaLink="Inputs!$AE$10" fmlaRange="Inputs!$AE$7:$AE$9" noThreeD="1" sel="1" val="0"/>
</file>

<file path=xl/ctrlProps/ctrlProp16.xml><?xml version="1.0" encoding="utf-8"?>
<formControlPr xmlns="http://schemas.microsoft.com/office/spreadsheetml/2009/9/main" objectType="Drop" dropLines="20" dropStyle="combo" dx="23" fmlaLink="Inputs!$AE$15" fmlaRange="Inputs!$AE$12:$AE$14" noThreeD="1" sel="1" val="0"/>
</file>

<file path=xl/ctrlProps/ctrlProp17.xml><?xml version="1.0" encoding="utf-8"?>
<formControlPr xmlns="http://schemas.microsoft.com/office/spreadsheetml/2009/9/main" objectType="Drop" dropLines="20" dropStyle="combo" dx="23" fmlaLink="Inputs!$Y$5" fmlaRange="Inputs!$Y$2:$Y$4" noThreeD="1" sel="1" val="0"/>
</file>

<file path=xl/ctrlProps/ctrlProp18.xml><?xml version="1.0" encoding="utf-8"?>
<formControlPr xmlns="http://schemas.microsoft.com/office/spreadsheetml/2009/9/main" objectType="Drop" dropLines="20" dropStyle="combo" dx="23" fmlaLink="Inputs!$Y$10" fmlaRange="Inputs!$Y$7:$Y$9" noThreeD="1" sel="1" val="0"/>
</file>

<file path=xl/ctrlProps/ctrlProp19.xml><?xml version="1.0" encoding="utf-8"?>
<formControlPr xmlns="http://schemas.microsoft.com/office/spreadsheetml/2009/9/main" objectType="Drop" dropLines="20" dropStyle="combo" dx="23" fmlaLink="Inputs!$Y$15" fmlaRange="Inputs!$Y$12:$Y$14" noThreeD="1" sel="1" val="0"/>
</file>

<file path=xl/ctrlProps/ctrlProp2.xml><?xml version="1.0" encoding="utf-8"?>
<formControlPr xmlns="http://schemas.microsoft.com/office/spreadsheetml/2009/9/main" objectType="Drop" dropLines="30" dropStyle="combo" dx="23" fmlaLink="Inputs!$C$38" fmlaRange="Inputs!$C$4:$C$35" noThreeD="1" sel="29" val="2"/>
</file>

<file path=xl/ctrlProps/ctrlProp3.xml><?xml version="1.0" encoding="utf-8"?>
<formControlPr xmlns="http://schemas.microsoft.com/office/spreadsheetml/2009/9/main" objectType="Drop" dropLines="32" dropStyle="combo" dx="23" fmlaLink="Inputs!$D$38" fmlaRange="Inputs!$D$4:$D$35" noThreeD="1" sel="32" val="0"/>
</file>

<file path=xl/ctrlProps/ctrlProp4.xml><?xml version="1.0" encoding="utf-8"?>
<formControlPr xmlns="http://schemas.microsoft.com/office/spreadsheetml/2009/9/main" objectType="Drop" dropLines="31" dropStyle="combo" dx="23" fmlaLink="Inputs!$E$38" fmlaRange="Inputs!$E$4:$E$35" noThreeD="1" sel="31" val="0"/>
</file>

<file path=xl/ctrlProps/ctrlProp5.xml><?xml version="1.0" encoding="utf-8"?>
<formControlPr xmlns="http://schemas.microsoft.com/office/spreadsheetml/2009/9/main" objectType="Drop" dropLines="32" dropStyle="combo" dx="23" fmlaLink="Inputs!$F$38" fmlaRange="Inputs!$F$4:$F$35" noThreeD="1" sel="1" val="0"/>
</file>

<file path=xl/ctrlProps/ctrlProp6.xml><?xml version="1.0" encoding="utf-8"?>
<formControlPr xmlns="http://schemas.microsoft.com/office/spreadsheetml/2009/9/main" objectType="Drop" dropLines="31" dropStyle="combo" dx="23" fmlaLink="Inputs!$G$38" fmlaRange="Inputs!$G$4:$G$35" noThreeD="1" sel="1" val="0"/>
</file>

<file path=xl/ctrlProps/ctrlProp7.xml><?xml version="1.0" encoding="utf-8"?>
<formControlPr xmlns="http://schemas.microsoft.com/office/spreadsheetml/2009/9/main" objectType="Drop" dropLines="32" dropStyle="combo" dx="23" fmlaLink="Inputs!$H$38" fmlaRange="Inputs!$H$4:$H$35" noThreeD="1" sel="1" val="0"/>
</file>

<file path=xl/ctrlProps/ctrlProp8.xml><?xml version="1.0" encoding="utf-8"?>
<formControlPr xmlns="http://schemas.microsoft.com/office/spreadsheetml/2009/9/main" objectType="Drop" dropLines="32" dropStyle="combo" dx="23" fmlaLink="Inputs!$I$38" fmlaRange="Inputs!$I$4:$I$35" noThreeD="1" sel="1" val="0"/>
</file>

<file path=xl/ctrlProps/ctrlProp9.xml><?xml version="1.0" encoding="utf-8"?>
<formControlPr xmlns="http://schemas.microsoft.com/office/spreadsheetml/2009/9/main" objectType="Drop" dropLines="31" dropStyle="combo" dx="23" fmlaLink="Inputs!$J$38" fmlaRange="Inputs!$J$4:$J$35" noThreeD="1" sel="1" val="0"/>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10026</xdr:colOff>
      <xdr:row>37</xdr:row>
      <xdr:rowOff>10020</xdr:rowOff>
    </xdr:from>
    <xdr:to>
      <xdr:col>6</xdr:col>
      <xdr:colOff>868946</xdr:colOff>
      <xdr:row>37</xdr:row>
      <xdr:rowOff>220579</xdr:rowOff>
    </xdr:to>
    <xdr:sp macro="" textlink="">
      <xdr:nvSpPr>
        <xdr:cNvPr id="4" name="Right Triangle 3"/>
        <xdr:cNvSpPr/>
      </xdr:nvSpPr>
      <xdr:spPr>
        <a:xfrm rot="10800000">
          <a:off x="4518526" y="9522320"/>
          <a:ext cx="858920" cy="210559"/>
        </a:xfrm>
        <a:prstGeom prst="rtTriangle">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15240</xdr:colOff>
          <xdr:row>8</xdr:row>
          <xdr:rowOff>220980</xdr:rowOff>
        </xdr:from>
        <xdr:to>
          <xdr:col>6</xdr:col>
          <xdr:colOff>807720</xdr:colOff>
          <xdr:row>9</xdr:row>
          <xdr:rowOff>220980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220980</xdr:rowOff>
        </xdr:from>
        <xdr:to>
          <xdr:col>7</xdr:col>
          <xdr:colOff>807720</xdr:colOff>
          <xdr:row>9</xdr:row>
          <xdr:rowOff>220980</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220980</xdr:rowOff>
        </xdr:from>
        <xdr:to>
          <xdr:col>8</xdr:col>
          <xdr:colOff>807720</xdr:colOff>
          <xdr:row>9</xdr:row>
          <xdr:rowOff>220980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xdr:row>
          <xdr:rowOff>220980</xdr:rowOff>
        </xdr:from>
        <xdr:to>
          <xdr:col>9</xdr:col>
          <xdr:colOff>899160</xdr:colOff>
          <xdr:row>9</xdr:row>
          <xdr:rowOff>220980</xdr:rowOff>
        </xdr:to>
        <xdr:sp macro="" textlink="">
          <xdr:nvSpPr>
            <xdr:cNvPr id="1028" name="Drop Down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xdr:row>
          <xdr:rowOff>220980</xdr:rowOff>
        </xdr:from>
        <xdr:to>
          <xdr:col>10</xdr:col>
          <xdr:colOff>640080</xdr:colOff>
          <xdr:row>9</xdr:row>
          <xdr:rowOff>220980</xdr:rowOff>
        </xdr:to>
        <xdr:sp macro="" textlink="">
          <xdr:nvSpPr>
            <xdr:cNvPr id="1029" name="Drop Down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xdr:row>
          <xdr:rowOff>220980</xdr:rowOff>
        </xdr:from>
        <xdr:to>
          <xdr:col>12</xdr:col>
          <xdr:colOff>0</xdr:colOff>
          <xdr:row>9</xdr:row>
          <xdr:rowOff>220980</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220980</xdr:rowOff>
        </xdr:from>
        <xdr:to>
          <xdr:col>12</xdr:col>
          <xdr:colOff>731520</xdr:colOff>
          <xdr:row>9</xdr:row>
          <xdr:rowOff>220980</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220980</xdr:rowOff>
        </xdr:from>
        <xdr:to>
          <xdr:col>13</xdr:col>
          <xdr:colOff>807720</xdr:colOff>
          <xdr:row>9</xdr:row>
          <xdr:rowOff>220980</xdr:rowOff>
        </xdr:to>
        <xdr:sp macro="" textlink="">
          <xdr:nvSpPr>
            <xdr:cNvPr id="1032" name="Drop Down 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220980</xdr:rowOff>
        </xdr:from>
        <xdr:to>
          <xdr:col>14</xdr:col>
          <xdr:colOff>807720</xdr:colOff>
          <xdr:row>9</xdr:row>
          <xdr:rowOff>220980</xdr:rowOff>
        </xdr:to>
        <xdr:sp macro="" textlink="">
          <xdr:nvSpPr>
            <xdr:cNvPr id="1033" name="Drop Dow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220980</xdr:rowOff>
        </xdr:from>
        <xdr:to>
          <xdr:col>15</xdr:col>
          <xdr:colOff>807720</xdr:colOff>
          <xdr:row>9</xdr:row>
          <xdr:rowOff>220980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xdr:row>
          <xdr:rowOff>220980</xdr:rowOff>
        </xdr:from>
        <xdr:to>
          <xdr:col>16</xdr:col>
          <xdr:colOff>579120</xdr:colOff>
          <xdr:row>9</xdr:row>
          <xdr:rowOff>220980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8</xdr:row>
          <xdr:rowOff>213360</xdr:rowOff>
        </xdr:from>
        <xdr:to>
          <xdr:col>17</xdr:col>
          <xdr:colOff>640080</xdr:colOff>
          <xdr:row>9</xdr:row>
          <xdr:rowOff>220980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0</xdr:rowOff>
        </xdr:from>
        <xdr:to>
          <xdr:col>8</xdr:col>
          <xdr:colOff>640080</xdr:colOff>
          <xdr:row>18</xdr:row>
          <xdr:rowOff>259080</xdr:rowOff>
        </xdr:to>
        <xdr:sp macro="" textlink="">
          <xdr:nvSpPr>
            <xdr:cNvPr id="1050" name="Drop Down 26"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29</xdr:row>
          <xdr:rowOff>0</xdr:rowOff>
        </xdr:from>
        <xdr:to>
          <xdr:col>9</xdr:col>
          <xdr:colOff>617220</xdr:colOff>
          <xdr:row>29</xdr:row>
          <xdr:rowOff>266700</xdr:rowOff>
        </xdr:to>
        <xdr:sp macro="" textlink="">
          <xdr:nvSpPr>
            <xdr:cNvPr id="1051" name="Drop Down 27"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441960</xdr:colOff>
          <xdr:row>28</xdr:row>
          <xdr:rowOff>281940</xdr:rowOff>
        </xdr:from>
        <xdr:to>
          <xdr:col>14</xdr:col>
          <xdr:colOff>472440</xdr:colOff>
          <xdr:row>29</xdr:row>
          <xdr:rowOff>251460</xdr:rowOff>
        </xdr:to>
        <xdr:sp macro="" textlink="">
          <xdr:nvSpPr>
            <xdr:cNvPr id="1052" name="Drop Down 28"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29</xdr:row>
          <xdr:rowOff>0</xdr:rowOff>
        </xdr:from>
        <xdr:to>
          <xdr:col>18</xdr:col>
          <xdr:colOff>640080</xdr:colOff>
          <xdr:row>29</xdr:row>
          <xdr:rowOff>266700</xdr:rowOff>
        </xdr:to>
        <xdr:sp macro="" textlink="">
          <xdr:nvSpPr>
            <xdr:cNvPr id="1053" name="Drop Down 29"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12</xdr:col>
      <xdr:colOff>81280</xdr:colOff>
      <xdr:row>1</xdr:row>
      <xdr:rowOff>121920</xdr:rowOff>
    </xdr:from>
    <xdr:to>
      <xdr:col>16</xdr:col>
      <xdr:colOff>602782</xdr:colOff>
      <xdr:row>4</xdr:row>
      <xdr:rowOff>1256620</xdr:rowOff>
    </xdr:to>
    <xdr:pic>
      <xdr:nvPicPr>
        <xdr:cNvPr id="2" name="Picture 1"/>
        <xdr:cNvPicPr>
          <a:picLocks noChangeAspect="1"/>
        </xdr:cNvPicPr>
      </xdr:nvPicPr>
      <xdr:blipFill>
        <a:blip xmlns:r="http://schemas.openxmlformats.org/officeDocument/2006/relationships" r:embed="rId1"/>
        <a:stretch>
          <a:fillRect/>
        </a:stretch>
      </xdr:blipFill>
      <xdr:spPr>
        <a:xfrm>
          <a:off x="10027920" y="335280"/>
          <a:ext cx="4134233" cy="1850681"/>
        </a:xfrm>
        <a:prstGeom prst="rect">
          <a:avLst/>
        </a:prstGeom>
      </xdr:spPr>
    </xdr:pic>
    <xdr:clientData/>
  </xdr:twoCellAnchor>
  <xdr:twoCellAnchor editAs="oneCell">
    <xdr:from>
      <xdr:col>17</xdr:col>
      <xdr:colOff>10161</xdr:colOff>
      <xdr:row>1</xdr:row>
      <xdr:rowOff>111761</xdr:rowOff>
    </xdr:from>
    <xdr:to>
      <xdr:col>21</xdr:col>
      <xdr:colOff>125371</xdr:colOff>
      <xdr:row>4</xdr:row>
      <xdr:rowOff>1255060</xdr:rowOff>
    </xdr:to>
    <xdr:pic>
      <xdr:nvPicPr>
        <xdr:cNvPr id="6" name="Picture 5"/>
        <xdr:cNvPicPr>
          <a:picLocks noChangeAspect="1"/>
        </xdr:cNvPicPr>
      </xdr:nvPicPr>
      <xdr:blipFill>
        <a:blip xmlns:r="http://schemas.openxmlformats.org/officeDocument/2006/relationships" r:embed="rId2"/>
        <a:stretch>
          <a:fillRect/>
        </a:stretch>
      </xdr:blipFill>
      <xdr:spPr>
        <a:xfrm>
          <a:off x="14356081" y="325121"/>
          <a:ext cx="3982458" cy="18592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15240</xdr:colOff>
          <xdr:row>24</xdr:row>
          <xdr:rowOff>0</xdr:rowOff>
        </xdr:from>
        <xdr:to>
          <xdr:col>9</xdr:col>
          <xdr:colOff>601980</xdr:colOff>
          <xdr:row>24</xdr:row>
          <xdr:rowOff>259080</xdr:rowOff>
        </xdr:to>
        <xdr:sp macro="" textlink="">
          <xdr:nvSpPr>
            <xdr:cNvPr id="1054" name="Drop Down 30"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24</xdr:row>
          <xdr:rowOff>15240</xdr:rowOff>
        </xdr:from>
        <xdr:to>
          <xdr:col>14</xdr:col>
          <xdr:colOff>480060</xdr:colOff>
          <xdr:row>24</xdr:row>
          <xdr:rowOff>274320</xdr:rowOff>
        </xdr:to>
        <xdr:sp macro="" textlink="">
          <xdr:nvSpPr>
            <xdr:cNvPr id="1055" name="Drop Down 31"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24</xdr:row>
          <xdr:rowOff>0</xdr:rowOff>
        </xdr:from>
        <xdr:to>
          <xdr:col>18</xdr:col>
          <xdr:colOff>624840</xdr:colOff>
          <xdr:row>24</xdr:row>
          <xdr:rowOff>259080</xdr:rowOff>
        </xdr:to>
        <xdr:sp macro="" textlink="">
          <xdr:nvSpPr>
            <xdr:cNvPr id="1056" name="Drop Down 32"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264367</xdr:colOff>
      <xdr:row>61</xdr:row>
      <xdr:rowOff>142909</xdr:rowOff>
    </xdr:from>
    <xdr:to>
      <xdr:col>13</xdr:col>
      <xdr:colOff>590939</xdr:colOff>
      <xdr:row>80</xdr:row>
      <xdr:rowOff>108858</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83</xdr:col>
      <xdr:colOff>462642</xdr:colOff>
      <xdr:row>57</xdr:row>
      <xdr:rowOff>54427</xdr:rowOff>
    </xdr:from>
    <xdr:to>
      <xdr:col>95</xdr:col>
      <xdr:colOff>421821</xdr:colOff>
      <xdr:row>76</xdr:row>
      <xdr:rowOff>176893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57</xdr:col>
      <xdr:colOff>503464</xdr:colOff>
      <xdr:row>29</xdr:row>
      <xdr:rowOff>81642</xdr:rowOff>
    </xdr:from>
    <xdr:to>
      <xdr:col>68</xdr:col>
      <xdr:colOff>571499</xdr:colOff>
      <xdr:row>32</xdr:row>
      <xdr:rowOff>68035</xdr:rowOff>
    </xdr:to>
    <xdr:sp macro="" textlink="">
      <xdr:nvSpPr>
        <xdr:cNvPr id="5" name="TextBox 4"/>
        <xdr:cNvSpPr txBox="1"/>
      </xdr:nvSpPr>
      <xdr:spPr>
        <a:xfrm>
          <a:off x="21159107" y="5619749"/>
          <a:ext cx="6803571" cy="557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a:t>This winter</a:t>
          </a:r>
          <a:r>
            <a:rPr lang="en-US" sz="1600" baseline="0"/>
            <a:t> and fall data was pooled to increase sample size on the SL_pooling worksheet</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588599</xdr:colOff>
      <xdr:row>29</xdr:row>
      <xdr:rowOff>119874</xdr:rowOff>
    </xdr:from>
    <xdr:to>
      <xdr:col>80</xdr:col>
      <xdr:colOff>9507</xdr:colOff>
      <xdr:row>44</xdr:row>
      <xdr:rowOff>203065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82</xdr:col>
      <xdr:colOff>186765</xdr:colOff>
      <xdr:row>28</xdr:row>
      <xdr:rowOff>179294</xdr:rowOff>
    </xdr:from>
    <xdr:to>
      <xdr:col>95</xdr:col>
      <xdr:colOff>85112</xdr:colOff>
      <xdr:row>44</xdr:row>
      <xdr:rowOff>68249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68</xdr:col>
      <xdr:colOff>11545</xdr:colOff>
      <xdr:row>45</xdr:row>
      <xdr:rowOff>253999</xdr:rowOff>
    </xdr:from>
    <xdr:to>
      <xdr:col>77</xdr:col>
      <xdr:colOff>44362</xdr:colOff>
      <xdr:row>62</xdr:row>
      <xdr:rowOff>175555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7" tint="0.59999389629810485"/>
  </sheetPr>
  <dimension ref="A1:BM90"/>
  <sheetViews>
    <sheetView tabSelected="1" topLeftCell="A22" zoomScale="58" zoomScaleNormal="86" workbookViewId="0">
      <selection activeCell="F42" sqref="F42"/>
    </sheetView>
  </sheetViews>
  <sheetFormatPr defaultRowHeight="14.4" x14ac:dyDescent="0.3"/>
  <cols>
    <col min="4" max="4" width="11.6640625" customWidth="1"/>
    <col min="5" max="5" width="14.109375" customWidth="1"/>
    <col min="6" max="10" width="14.33203125" customWidth="1"/>
    <col min="11" max="11" width="12.6640625" customWidth="1"/>
    <col min="12" max="12" width="11.88671875" customWidth="1"/>
    <col min="13" max="13" width="12" customWidth="1"/>
    <col min="14" max="14" width="12.88671875" customWidth="1"/>
    <col min="15" max="15" width="14" customWidth="1"/>
    <col min="16" max="17" width="13.77734375" customWidth="1"/>
    <col min="18" max="18" width="14.88671875" customWidth="1"/>
    <col min="19" max="19" width="18.33203125" customWidth="1"/>
    <col min="20" max="20" width="12.44140625" customWidth="1"/>
    <col min="21" max="21" width="10.44140625" customWidth="1"/>
    <col min="24" max="24" width="67.21875" customWidth="1"/>
    <col min="25" max="25" width="12" bestFit="1" customWidth="1"/>
    <col min="26" max="26" width="13.44140625" bestFit="1" customWidth="1"/>
  </cols>
  <sheetData>
    <row r="1" spans="1:65" s="1" customFormat="1" ht="16.95" customHeight="1" thickTop="1" thickBot="1" x14ac:dyDescent="0.4">
      <c r="A1" s="287"/>
      <c r="B1" s="288"/>
      <c r="C1" s="288"/>
      <c r="D1" s="288"/>
      <c r="E1" s="288"/>
      <c r="F1" s="288"/>
      <c r="G1" s="288"/>
      <c r="H1" s="288"/>
      <c r="I1" s="288"/>
      <c r="J1" s="288"/>
      <c r="K1" s="288"/>
      <c r="L1" s="288"/>
      <c r="M1" s="288"/>
      <c r="N1" s="288"/>
      <c r="O1" s="288"/>
      <c r="P1" s="288"/>
      <c r="Q1" s="288"/>
      <c r="R1" s="288"/>
      <c r="S1" s="288"/>
      <c r="T1" s="288"/>
      <c r="U1" s="288"/>
      <c r="V1" s="289"/>
      <c r="BB1" s="2" t="str">
        <f>IF(ISBLANK(G9),"",CONCATENATE(G8,", "))</f>
        <v xml:space="preserve">Jan, </v>
      </c>
      <c r="BC1" s="2" t="str">
        <f t="shared" ref="BC1:BM1" si="0">IF(ISBLANK(H9),"",CONCATENATE(H8,", "))</f>
        <v xml:space="preserve">Feb, </v>
      </c>
      <c r="BD1" s="2" t="str">
        <f t="shared" si="0"/>
        <v xml:space="preserve">Mar, </v>
      </c>
      <c r="BE1" s="2" t="str">
        <f t="shared" si="0"/>
        <v xml:space="preserve">Apr, </v>
      </c>
      <c r="BF1" s="2" t="str">
        <f t="shared" si="0"/>
        <v xml:space="preserve">May, </v>
      </c>
      <c r="BG1" s="2" t="str">
        <f t="shared" si="0"/>
        <v xml:space="preserve">Jun, </v>
      </c>
      <c r="BH1" s="2" t="str">
        <f t="shared" si="0"/>
        <v xml:space="preserve">Jul, </v>
      </c>
      <c r="BI1" s="2" t="str">
        <f t="shared" si="0"/>
        <v xml:space="preserve">Aug, </v>
      </c>
      <c r="BJ1" s="2" t="str">
        <f t="shared" si="0"/>
        <v xml:space="preserve">Sep, </v>
      </c>
      <c r="BK1" s="2" t="str">
        <f t="shared" si="0"/>
        <v xml:space="preserve">Oct, </v>
      </c>
      <c r="BL1" s="2" t="str">
        <f t="shared" si="0"/>
        <v xml:space="preserve">Nov, </v>
      </c>
      <c r="BM1" s="2" t="str">
        <f t="shared" si="0"/>
        <v xml:space="preserve">Dec, </v>
      </c>
    </row>
    <row r="2" spans="1:65" s="1" customFormat="1" ht="23.4" x14ac:dyDescent="0.45">
      <c r="A2" s="290"/>
      <c r="B2" s="484" t="s">
        <v>359</v>
      </c>
      <c r="C2" s="482"/>
      <c r="D2" s="482"/>
      <c r="E2" s="482"/>
      <c r="F2" s="482"/>
      <c r="G2" s="482"/>
      <c r="H2" s="482"/>
      <c r="I2" s="482"/>
      <c r="J2" s="482"/>
      <c r="K2" s="483"/>
      <c r="L2" s="292"/>
      <c r="M2" s="292"/>
      <c r="N2" s="292"/>
      <c r="O2" s="292"/>
      <c r="P2" s="292"/>
      <c r="Q2" s="292"/>
      <c r="R2" s="292"/>
      <c r="S2" s="292"/>
      <c r="T2" s="292"/>
      <c r="U2" s="292"/>
      <c r="V2" s="293"/>
      <c r="BB2" s="3"/>
      <c r="BC2" s="3"/>
      <c r="BD2" s="3"/>
      <c r="BE2" s="3"/>
      <c r="BF2" s="3"/>
      <c r="BG2" s="3"/>
      <c r="BH2" s="3"/>
      <c r="BI2" s="3"/>
      <c r="BJ2" s="3"/>
      <c r="BK2" s="3"/>
      <c r="BL2" s="3"/>
      <c r="BM2" s="3"/>
    </row>
    <row r="3" spans="1:65" s="1" customFormat="1" ht="16.95" customHeight="1" x14ac:dyDescent="0.35">
      <c r="A3" s="290"/>
      <c r="B3" s="553" t="s">
        <v>347</v>
      </c>
      <c r="C3" s="554"/>
      <c r="D3" s="554"/>
      <c r="E3" s="554"/>
      <c r="F3" s="554"/>
      <c r="G3" s="554"/>
      <c r="H3" s="554"/>
      <c r="I3" s="554"/>
      <c r="J3" s="554"/>
      <c r="K3" s="555"/>
      <c r="L3" s="291"/>
      <c r="M3" s="291"/>
      <c r="N3" s="291"/>
      <c r="O3" s="291"/>
      <c r="P3" s="291"/>
      <c r="Q3" s="291"/>
      <c r="R3" s="294"/>
      <c r="S3" s="292"/>
      <c r="T3" s="292"/>
      <c r="U3" s="292"/>
      <c r="V3" s="293"/>
    </row>
    <row r="4" spans="1:65" s="1" customFormat="1" ht="16.95" customHeight="1" x14ac:dyDescent="0.35">
      <c r="A4" s="290"/>
      <c r="B4" s="553"/>
      <c r="C4" s="554"/>
      <c r="D4" s="554"/>
      <c r="E4" s="554"/>
      <c r="F4" s="554"/>
      <c r="G4" s="554"/>
      <c r="H4" s="554"/>
      <c r="I4" s="554"/>
      <c r="J4" s="554"/>
      <c r="K4" s="555"/>
      <c r="L4" s="291"/>
      <c r="M4" s="291"/>
      <c r="N4" s="291"/>
      <c r="O4" s="291"/>
      <c r="P4" s="291"/>
      <c r="Q4" s="291"/>
      <c r="R4" s="291"/>
      <c r="S4" s="292"/>
      <c r="T4" s="292"/>
      <c r="U4" s="292"/>
      <c r="V4" s="293"/>
      <c r="AA4" s="4"/>
      <c r="AB4" s="1" t="str">
        <f>IF(NOT(ISBLANK(K38)), 1, " ")</f>
        <v xml:space="preserve"> </v>
      </c>
      <c r="AC4" s="1" t="str">
        <f>IF(NOT(ISBLANK(L38)), 1, " ")</f>
        <v xml:space="preserve"> </v>
      </c>
      <c r="AD4" s="1" t="str">
        <f>IF(NOT(ISBLANK(M38)), 1, " ")</f>
        <v xml:space="preserve"> </v>
      </c>
    </row>
    <row r="5" spans="1:65" s="1" customFormat="1" ht="108.6" customHeight="1" thickBot="1" x14ac:dyDescent="0.4">
      <c r="A5" s="290"/>
      <c r="B5" s="556"/>
      <c r="C5" s="557"/>
      <c r="D5" s="557"/>
      <c r="E5" s="557"/>
      <c r="F5" s="557"/>
      <c r="G5" s="557"/>
      <c r="H5" s="557"/>
      <c r="I5" s="557"/>
      <c r="J5" s="557"/>
      <c r="K5" s="558"/>
      <c r="L5" s="292"/>
      <c r="M5" s="378"/>
      <c r="N5" s="292"/>
      <c r="O5" s="292"/>
      <c r="P5" s="292"/>
      <c r="Q5" s="292"/>
      <c r="R5" s="292"/>
      <c r="S5" s="292"/>
      <c r="T5" s="292"/>
      <c r="U5" s="292"/>
      <c r="V5" s="293"/>
      <c r="AA5" s="5"/>
      <c r="AB5" s="1">
        <f>IF(NOT(ISBLANK(#REF!)), 1, " ")</f>
        <v>1</v>
      </c>
      <c r="AC5" s="1">
        <f>IF(NOT(ISBLANK(#REF!)), 1, " ")</f>
        <v>1</v>
      </c>
      <c r="AD5" s="1">
        <f>IF(NOT(ISBLANK(#REF!)), 1, " ")</f>
        <v>1</v>
      </c>
    </row>
    <row r="6" spans="1:65" s="1" customFormat="1" ht="18.600000000000001" thickBot="1" x14ac:dyDescent="0.4">
      <c r="A6" s="290"/>
      <c r="B6" s="294"/>
      <c r="C6" s="292"/>
      <c r="D6" s="292"/>
      <c r="E6" s="292"/>
      <c r="F6" s="292"/>
      <c r="G6" s="292"/>
      <c r="H6" s="292"/>
      <c r="I6" s="292"/>
      <c r="J6" s="292"/>
      <c r="K6" s="292"/>
      <c r="L6" s="292"/>
      <c r="M6" s="292"/>
      <c r="N6" s="292"/>
      <c r="O6" s="292"/>
      <c r="P6" s="292"/>
      <c r="Q6" s="292"/>
      <c r="R6" s="292"/>
      <c r="S6" s="292"/>
      <c r="T6" s="292"/>
      <c r="U6" s="292"/>
      <c r="V6" s="293"/>
      <c r="AA6" s="5"/>
      <c r="AB6" s="1">
        <f>IF(NOT(ISBLANK(#REF!)), 1, " ")</f>
        <v>1</v>
      </c>
      <c r="AC6" s="1">
        <f>IF(NOT(ISBLANK(#REF!)), 1, " ")</f>
        <v>1</v>
      </c>
      <c r="AD6" s="1">
        <f>IF(NOT(ISBLANK(#REF!)), 1, " ")</f>
        <v>1</v>
      </c>
    </row>
    <row r="7" spans="1:65" s="104" customFormat="1" ht="21.6" thickBot="1" x14ac:dyDescent="0.45">
      <c r="A7" s="102"/>
      <c r="B7" s="325" t="s">
        <v>47</v>
      </c>
      <c r="C7" s="98"/>
      <c r="D7" s="98"/>
      <c r="E7" s="98"/>
      <c r="F7" s="99"/>
      <c r="G7" s="98"/>
      <c r="H7" s="100"/>
      <c r="I7" s="98"/>
      <c r="J7" s="98"/>
      <c r="K7" s="98"/>
      <c r="L7" s="98"/>
      <c r="M7" s="98"/>
      <c r="N7" s="98"/>
      <c r="O7" s="98"/>
      <c r="P7" s="98"/>
      <c r="Q7" s="98"/>
      <c r="R7" s="98"/>
      <c r="S7" s="100"/>
      <c r="T7" s="101"/>
      <c r="U7" s="100"/>
      <c r="V7" s="103"/>
      <c r="W7" s="3"/>
      <c r="X7" s="3"/>
      <c r="Y7" s="3"/>
      <c r="Z7" s="3"/>
      <c r="AA7" s="3"/>
      <c r="AB7" s="3"/>
      <c r="AC7" s="3"/>
      <c r="AD7" s="3"/>
      <c r="AE7" s="3"/>
      <c r="AF7" s="3"/>
      <c r="AG7" s="3"/>
      <c r="AH7" s="3"/>
      <c r="AI7" s="3"/>
      <c r="AJ7" s="3"/>
      <c r="AK7" s="3"/>
      <c r="AL7" s="3"/>
      <c r="AM7" s="3"/>
      <c r="AN7" s="3"/>
      <c r="AO7" s="3"/>
      <c r="AP7" s="3"/>
      <c r="AQ7" s="3"/>
    </row>
    <row r="8" spans="1:65" s="94" customFormat="1" ht="25.5" customHeight="1" thickBot="1" x14ac:dyDescent="0.45">
      <c r="A8" s="296"/>
      <c r="B8" s="297"/>
      <c r="C8" s="297"/>
      <c r="D8" s="297"/>
      <c r="E8" s="297"/>
      <c r="F8" s="297"/>
      <c r="G8" s="324" t="s">
        <v>0</v>
      </c>
      <c r="H8" s="324" t="s">
        <v>1</v>
      </c>
      <c r="I8" s="324" t="s">
        <v>2</v>
      </c>
      <c r="J8" s="324" t="s">
        <v>3</v>
      </c>
      <c r="K8" s="324" t="s">
        <v>4</v>
      </c>
      <c r="L8" s="324" t="s">
        <v>5</v>
      </c>
      <c r="M8" s="324" t="s">
        <v>6</v>
      </c>
      <c r="N8" s="324" t="s">
        <v>7</v>
      </c>
      <c r="O8" s="324" t="s">
        <v>8</v>
      </c>
      <c r="P8" s="324" t="s">
        <v>9</v>
      </c>
      <c r="Q8" s="324" t="s">
        <v>10</v>
      </c>
      <c r="R8" s="324" t="s">
        <v>11</v>
      </c>
      <c r="S8" s="300"/>
      <c r="T8" s="300"/>
      <c r="U8" s="300"/>
      <c r="V8" s="301"/>
      <c r="W8" s="95">
        <f>COUNT(AB4:AB10)</f>
        <v>4</v>
      </c>
      <c r="X8" s="95">
        <f>COUNT(AC4:AC10)</f>
        <v>4</v>
      </c>
      <c r="Y8" s="95">
        <f>COUNT(AD4:AD10)</f>
        <v>4</v>
      </c>
      <c r="AA8" s="96"/>
      <c r="AB8" s="95">
        <f>IF(NOT(ISBLANK(#REF!)), 1, " ")</f>
        <v>1</v>
      </c>
      <c r="AC8" s="95">
        <f>IF(NOT(ISBLANK(#REF!)), 1, " ")</f>
        <v>1</v>
      </c>
      <c r="AD8" s="95">
        <f>IF(NOT(ISBLANK(#REF!)), 1, " ")</f>
        <v>1</v>
      </c>
    </row>
    <row r="9" spans="1:65" s="3" customFormat="1" ht="19.2" thickTop="1" thickBot="1" x14ac:dyDescent="0.4">
      <c r="A9" s="296"/>
      <c r="B9" s="297"/>
      <c r="C9" s="297"/>
      <c r="D9" s="297"/>
      <c r="E9" s="297"/>
      <c r="F9" s="298" t="s">
        <v>39</v>
      </c>
      <c r="G9" s="340">
        <v>31</v>
      </c>
      <c r="H9" s="341">
        <v>28</v>
      </c>
      <c r="I9" s="341">
        <v>31</v>
      </c>
      <c r="J9" s="341">
        <v>30</v>
      </c>
      <c r="K9" s="341">
        <v>31</v>
      </c>
      <c r="L9" s="341">
        <v>30</v>
      </c>
      <c r="M9" s="341">
        <v>31</v>
      </c>
      <c r="N9" s="341">
        <v>31</v>
      </c>
      <c r="O9" s="341">
        <v>30</v>
      </c>
      <c r="P9" s="341">
        <v>31</v>
      </c>
      <c r="Q9" s="341">
        <v>30</v>
      </c>
      <c r="R9" s="342">
        <v>31</v>
      </c>
      <c r="S9" s="322" t="s">
        <v>12</v>
      </c>
      <c r="T9" s="304"/>
      <c r="U9" s="300"/>
      <c r="V9" s="302"/>
      <c r="AA9" s="5"/>
      <c r="AB9" s="1">
        <f>IF(NOT(ISBLANK(#REF!)), 1, " ")</f>
        <v>1</v>
      </c>
      <c r="AC9" s="1">
        <f>IF(NOT(ISBLANK(#REF!)), 1, " ")</f>
        <v>1</v>
      </c>
      <c r="AD9" s="1">
        <f>IF(NOT(ISBLANK(#REF!)), 1, " ")</f>
        <v>1</v>
      </c>
    </row>
    <row r="10" spans="1:65" s="9" customFormat="1" ht="18" customHeight="1" thickBot="1" x14ac:dyDescent="0.4">
      <c r="A10" s="316"/>
      <c r="B10" s="310"/>
      <c r="C10" s="317"/>
      <c r="D10" s="317"/>
      <c r="E10" s="317"/>
      <c r="F10" s="323" t="s">
        <v>163</v>
      </c>
      <c r="G10" s="41"/>
      <c r="H10" s="8"/>
      <c r="I10" s="8">
        <v>0</v>
      </c>
      <c r="J10" s="8">
        <v>0</v>
      </c>
      <c r="K10" s="8">
        <v>0</v>
      </c>
      <c r="L10" s="8">
        <v>0</v>
      </c>
      <c r="M10" s="8">
        <v>0</v>
      </c>
      <c r="N10" s="8">
        <v>0</v>
      </c>
      <c r="O10" s="8">
        <v>0</v>
      </c>
      <c r="P10" s="8">
        <v>0</v>
      </c>
      <c r="Q10" s="8">
        <v>0</v>
      </c>
      <c r="R10" s="42">
        <v>0</v>
      </c>
      <c r="S10" s="322" t="s">
        <v>165</v>
      </c>
      <c r="T10" s="304"/>
      <c r="U10" s="317"/>
      <c r="V10" s="303"/>
      <c r="AA10" s="5"/>
      <c r="AB10" s="1"/>
      <c r="AC10" s="1"/>
      <c r="AD10" s="1"/>
    </row>
    <row r="11" spans="1:65" s="3" customFormat="1" ht="18.600000000000001" thickBot="1" x14ac:dyDescent="0.4">
      <c r="A11" s="296"/>
      <c r="B11" s="310"/>
      <c r="C11" s="297"/>
      <c r="D11" s="297"/>
      <c r="E11" s="297"/>
      <c r="F11" s="323" t="s">
        <v>164</v>
      </c>
      <c r="G11" s="43">
        <f>IF(ISNUMBER(Inputs!B39/Inputs!B3),Inputs!B39/Inputs!B3,0%)</f>
        <v>1</v>
      </c>
      <c r="H11" s="44">
        <f>IF(ISNUMBER(Inputs!C39/Inputs!C3),Inputs!C39/Inputs!C3,0%)</f>
        <v>1</v>
      </c>
      <c r="I11" s="44">
        <f>IF(ISNUMBER(Inputs!D39/Inputs!D3),Inputs!D39/Inputs!D3,0%)</f>
        <v>1</v>
      </c>
      <c r="J11" s="243">
        <f>IF(ISNUMBER(Inputs!E39/Inputs!E3),Inputs!E39/Inputs!E3,0%)</f>
        <v>1</v>
      </c>
      <c r="K11" s="44">
        <f>IF(ISNUMBER(Inputs!F39/Inputs!F3),Inputs!F39/Inputs!F3,0%)</f>
        <v>0</v>
      </c>
      <c r="L11" s="44">
        <f>IF(ISNUMBER(Inputs!G39/Inputs!G3),Inputs!G39/Inputs!G3,0%)</f>
        <v>0</v>
      </c>
      <c r="M11" s="44">
        <f>IF(ISNUMBER(Inputs!H39/Inputs!H3),Inputs!H39/Inputs!H3,0%)</f>
        <v>0</v>
      </c>
      <c r="N11" s="44">
        <f>IF(ISNUMBER(Inputs!I39/Inputs!I3),Inputs!I39/Inputs!I3,0%)</f>
        <v>0</v>
      </c>
      <c r="O11" s="44">
        <f>IF(ISNUMBER(Inputs!J39/Inputs!J3),Inputs!J39/Inputs!J3,0%)</f>
        <v>0</v>
      </c>
      <c r="P11" s="44">
        <f>IF(ISNUMBER(Inputs!K39/Inputs!K3),Inputs!K39/Inputs!K3,0%)</f>
        <v>0</v>
      </c>
      <c r="Q11" s="44">
        <f>IF(ISNUMBER(Inputs!L39/Inputs!L3),Inputs!L39/Inputs!L3,0%)</f>
        <v>0</v>
      </c>
      <c r="R11" s="45">
        <f>IF(ISNUMBER(Inputs!M39/Inputs!M3),Inputs!M39/Inputs!M3,0%)</f>
        <v>0</v>
      </c>
      <c r="S11" s="322" t="s">
        <v>166</v>
      </c>
      <c r="T11" s="304"/>
      <c r="U11" s="300"/>
      <c r="V11" s="302"/>
    </row>
    <row r="12" spans="1:65" s="3" customFormat="1" ht="19.2" thickTop="1" thickBot="1" x14ac:dyDescent="0.4">
      <c r="A12" s="296"/>
      <c r="B12" s="310"/>
      <c r="C12" s="297"/>
      <c r="D12" s="297"/>
      <c r="E12" s="297"/>
      <c r="F12" s="318"/>
      <c r="G12" s="313"/>
      <c r="H12" s="313"/>
      <c r="I12" s="313"/>
      <c r="J12" s="313"/>
      <c r="K12" s="313"/>
      <c r="L12" s="313"/>
      <c r="M12" s="313"/>
      <c r="N12" s="313"/>
      <c r="O12" s="313"/>
      <c r="P12" s="313"/>
      <c r="Q12" s="313"/>
      <c r="R12" s="313"/>
      <c r="S12" s="317"/>
      <c r="T12" s="304"/>
      <c r="U12" s="300"/>
      <c r="V12" s="302"/>
    </row>
    <row r="13" spans="1:65" s="3" customFormat="1" ht="18" customHeight="1" x14ac:dyDescent="0.35">
      <c r="A13" s="487"/>
      <c r="B13" s="573" t="s">
        <v>364</v>
      </c>
      <c r="C13" s="574"/>
      <c r="D13" s="574"/>
      <c r="E13" s="574"/>
      <c r="F13" s="575"/>
      <c r="G13" s="486"/>
      <c r="H13" s="572" t="s">
        <v>290</v>
      </c>
      <c r="I13" s="572"/>
      <c r="J13" s="572"/>
      <c r="K13" s="572"/>
      <c r="L13" s="572"/>
      <c r="M13" s="572"/>
      <c r="N13" s="572"/>
      <c r="O13" s="572"/>
      <c r="P13" s="572"/>
      <c r="Q13" s="572"/>
      <c r="R13" s="313"/>
      <c r="S13" s="317"/>
      <c r="T13" s="304"/>
      <c r="U13" s="300"/>
      <c r="V13" s="302"/>
    </row>
    <row r="14" spans="1:65" s="3" customFormat="1" ht="20.399999999999999" customHeight="1" x14ac:dyDescent="0.35">
      <c r="A14" s="487"/>
      <c r="B14" s="576"/>
      <c r="C14" s="577"/>
      <c r="D14" s="577"/>
      <c r="E14" s="577"/>
      <c r="F14" s="578"/>
      <c r="G14" s="310"/>
      <c r="H14" s="310"/>
      <c r="I14" s="450" t="s">
        <v>146</v>
      </c>
      <c r="J14" s="314" t="s">
        <v>361</v>
      </c>
      <c r="K14" s="314"/>
      <c r="L14" s="314"/>
      <c r="M14" s="313"/>
      <c r="N14" s="313"/>
      <c r="O14" s="313"/>
      <c r="P14" s="313"/>
      <c r="Q14" s="313"/>
      <c r="R14" s="485"/>
      <c r="S14" s="485"/>
      <c r="T14" s="485"/>
      <c r="U14" s="485"/>
      <c r="V14" s="302"/>
    </row>
    <row r="15" spans="1:65" s="3" customFormat="1" ht="20.399999999999999" customHeight="1" x14ac:dyDescent="0.35">
      <c r="A15" s="487"/>
      <c r="B15" s="576"/>
      <c r="C15" s="577"/>
      <c r="D15" s="577"/>
      <c r="E15" s="577"/>
      <c r="F15" s="578"/>
      <c r="G15" s="310"/>
      <c r="H15" s="310"/>
      <c r="I15" s="450" t="s">
        <v>360</v>
      </c>
      <c r="J15" s="314" t="s">
        <v>362</v>
      </c>
      <c r="K15" s="314"/>
      <c r="L15" s="314"/>
      <c r="M15" s="313"/>
      <c r="N15" s="313"/>
      <c r="O15" s="313"/>
      <c r="P15" s="313"/>
      <c r="Q15" s="313"/>
      <c r="R15" s="485"/>
      <c r="S15" s="485"/>
      <c r="T15" s="485"/>
      <c r="U15" s="485"/>
      <c r="V15" s="302"/>
    </row>
    <row r="16" spans="1:65" s="3" customFormat="1" ht="20.399999999999999" customHeight="1" x14ac:dyDescent="0.35">
      <c r="A16" s="487"/>
      <c r="B16" s="576"/>
      <c r="C16" s="577"/>
      <c r="D16" s="577"/>
      <c r="E16" s="577"/>
      <c r="F16" s="578"/>
      <c r="G16" s="310"/>
      <c r="H16" s="310"/>
      <c r="I16" s="450" t="s">
        <v>147</v>
      </c>
      <c r="J16" s="314" t="s">
        <v>363</v>
      </c>
      <c r="K16" s="314"/>
      <c r="L16" s="314"/>
      <c r="M16" s="313"/>
      <c r="N16" s="313"/>
      <c r="O16" s="313"/>
      <c r="P16" s="313"/>
      <c r="Q16" s="313"/>
      <c r="R16" s="485"/>
      <c r="S16" s="485"/>
      <c r="T16" s="485"/>
      <c r="U16" s="485"/>
      <c r="V16" s="302"/>
      <c r="W16" s="3" t="s">
        <v>223</v>
      </c>
    </row>
    <row r="17" spans="1:43" s="3" customFormat="1" ht="18.600000000000001" thickBot="1" x14ac:dyDescent="0.4">
      <c r="A17" s="296"/>
      <c r="B17" s="579"/>
      <c r="C17" s="580"/>
      <c r="D17" s="580"/>
      <c r="E17" s="580"/>
      <c r="F17" s="581"/>
      <c r="G17" s="313"/>
      <c r="H17" s="313"/>
      <c r="I17" s="313"/>
      <c r="J17" s="313"/>
      <c r="K17" s="309"/>
      <c r="L17" s="310"/>
      <c r="M17" s="297"/>
      <c r="N17" s="313"/>
      <c r="O17" s="313"/>
      <c r="P17" s="313"/>
      <c r="Q17" s="313"/>
      <c r="R17" s="313"/>
      <c r="S17" s="317"/>
      <c r="T17" s="304"/>
      <c r="U17" s="300"/>
      <c r="V17" s="302"/>
    </row>
    <row r="18" spans="1:43" s="3" customFormat="1" ht="18" x14ac:dyDescent="0.35">
      <c r="A18" s="296"/>
      <c r="B18" s="310"/>
      <c r="C18" s="297"/>
      <c r="D18" s="311"/>
      <c r="E18" s="297"/>
      <c r="F18" s="318"/>
      <c r="G18" s="313"/>
      <c r="H18" s="313"/>
      <c r="I18" s="313"/>
      <c r="J18" s="313"/>
      <c r="K18" s="297"/>
      <c r="L18" s="310"/>
      <c r="M18" s="311"/>
      <c r="N18" s="313"/>
      <c r="O18" s="313"/>
      <c r="P18" s="313"/>
      <c r="Q18" s="313"/>
      <c r="R18" s="313"/>
      <c r="S18" s="317"/>
      <c r="T18" s="304"/>
      <c r="U18" s="300"/>
      <c r="V18" s="302"/>
    </row>
    <row r="19" spans="1:43" s="3" customFormat="1" ht="21" x14ac:dyDescent="0.35">
      <c r="A19" s="296"/>
      <c r="B19" s="309"/>
      <c r="C19" s="297"/>
      <c r="D19" s="297"/>
      <c r="E19" s="297"/>
      <c r="F19" s="490" t="s">
        <v>376</v>
      </c>
      <c r="G19" s="313"/>
      <c r="H19" s="313"/>
      <c r="I19" s="313"/>
      <c r="J19" s="451" t="s">
        <v>327</v>
      </c>
      <c r="K19" s="310"/>
      <c r="L19" s="297"/>
      <c r="M19" s="311"/>
      <c r="N19" s="312"/>
      <c r="O19" s="313"/>
      <c r="P19" s="313"/>
      <c r="Q19" s="313"/>
      <c r="R19" s="313"/>
      <c r="S19" s="313"/>
      <c r="T19" s="304"/>
      <c r="U19" s="300"/>
      <c r="V19" s="302"/>
    </row>
    <row r="20" spans="1:43" s="3" customFormat="1" ht="18" x14ac:dyDescent="0.35">
      <c r="A20" s="296"/>
      <c r="B20" s="309"/>
      <c r="C20" s="297"/>
      <c r="D20" s="297"/>
      <c r="E20" s="297"/>
      <c r="F20" s="299"/>
      <c r="G20" s="313"/>
      <c r="H20" s="313"/>
      <c r="I20" s="313"/>
      <c r="J20" s="297"/>
      <c r="K20" s="311"/>
      <c r="L20" s="450" t="s">
        <v>328</v>
      </c>
      <c r="M20" s="314" t="s">
        <v>329</v>
      </c>
      <c r="N20" s="312"/>
      <c r="O20" s="311"/>
      <c r="P20" s="313"/>
      <c r="Q20" s="313"/>
      <c r="R20" s="313"/>
      <c r="S20" s="313"/>
      <c r="T20" s="304"/>
      <c r="U20" s="300"/>
      <c r="V20" s="302"/>
    </row>
    <row r="21" spans="1:43" s="3" customFormat="1" ht="18" x14ac:dyDescent="0.35">
      <c r="A21" s="296"/>
      <c r="B21" s="309"/>
      <c r="C21" s="297"/>
      <c r="D21" s="297"/>
      <c r="E21" s="297"/>
      <c r="F21" s="299"/>
      <c r="G21" s="309"/>
      <c r="H21" s="310"/>
      <c r="I21" s="297"/>
      <c r="J21" s="297"/>
      <c r="K21" s="311"/>
      <c r="L21" s="450" t="s">
        <v>360</v>
      </c>
      <c r="M21" s="314" t="s">
        <v>352</v>
      </c>
      <c r="N21" s="312"/>
      <c r="O21" s="311"/>
      <c r="P21" s="313"/>
      <c r="Q21" s="313"/>
      <c r="R21" s="313"/>
      <c r="S21" s="313"/>
      <c r="T21" s="304"/>
      <c r="U21" s="300"/>
      <c r="V21" s="302"/>
    </row>
    <row r="22" spans="1:43" s="3" customFormat="1" ht="18" x14ac:dyDescent="0.35">
      <c r="A22" s="296"/>
      <c r="B22" s="309"/>
      <c r="C22" s="297"/>
      <c r="D22" s="297"/>
      <c r="E22" s="297"/>
      <c r="F22" s="299"/>
      <c r="G22" s="297"/>
      <c r="H22" s="310"/>
      <c r="I22" s="311"/>
      <c r="J22" s="297"/>
      <c r="K22" s="311"/>
      <c r="L22" s="450" t="s">
        <v>147</v>
      </c>
      <c r="M22" s="314" t="s">
        <v>330</v>
      </c>
      <c r="N22" s="312"/>
      <c r="O22" s="311"/>
      <c r="P22" s="313"/>
      <c r="Q22" s="313"/>
      <c r="R22" s="313"/>
      <c r="S22" s="313"/>
      <c r="T22" s="304"/>
      <c r="U22" s="300"/>
      <c r="V22" s="302"/>
    </row>
    <row r="23" spans="1:43" s="3" customFormat="1" ht="18" x14ac:dyDescent="0.35">
      <c r="A23" s="296"/>
      <c r="B23" s="309"/>
      <c r="C23" s="297"/>
      <c r="D23" s="297"/>
      <c r="E23" s="297"/>
      <c r="F23" s="299"/>
      <c r="G23" s="297"/>
      <c r="H23" s="310"/>
      <c r="I23" s="311"/>
      <c r="J23" s="297"/>
      <c r="K23" s="311"/>
      <c r="L23" s="311"/>
      <c r="M23" s="314"/>
      <c r="N23" s="312"/>
      <c r="O23" s="311"/>
      <c r="P23" s="313"/>
      <c r="Q23" s="313"/>
      <c r="R23" s="313"/>
      <c r="S23" s="313"/>
      <c r="T23" s="304"/>
      <c r="U23" s="300"/>
      <c r="V23" s="302"/>
    </row>
    <row r="24" spans="1:43" s="3" customFormat="1" ht="21.6" thickBot="1" x14ac:dyDescent="0.45">
      <c r="A24" s="296"/>
      <c r="B24" s="309"/>
      <c r="C24" s="297"/>
      <c r="D24" s="297"/>
      <c r="E24" s="297"/>
      <c r="F24" s="299"/>
      <c r="G24" s="492"/>
      <c r="H24" s="492" t="s">
        <v>271</v>
      </c>
      <c r="I24" s="493"/>
      <c r="J24" s="493"/>
      <c r="K24" s="492"/>
      <c r="L24" s="493"/>
      <c r="M24" s="493" t="s">
        <v>272</v>
      </c>
      <c r="N24" s="494"/>
      <c r="O24" s="495"/>
      <c r="P24" s="495"/>
      <c r="Q24" s="494" t="s">
        <v>273</v>
      </c>
      <c r="R24" s="313"/>
      <c r="S24" s="313"/>
      <c r="T24" s="304"/>
      <c r="U24" s="300"/>
      <c r="V24" s="302"/>
    </row>
    <row r="25" spans="1:43" s="3" customFormat="1" ht="23.4" customHeight="1" x14ac:dyDescent="0.45">
      <c r="A25" s="296"/>
      <c r="B25" s="582" t="s">
        <v>317</v>
      </c>
      <c r="C25" s="582"/>
      <c r="D25" s="582"/>
      <c r="E25" s="582"/>
      <c r="F25" s="491"/>
      <c r="G25" s="491" t="s">
        <v>377</v>
      </c>
      <c r="H25" s="313"/>
      <c r="I25" s="313"/>
      <c r="J25" s="315"/>
      <c r="K25" s="297"/>
      <c r="L25" s="310"/>
      <c r="M25" s="311"/>
      <c r="N25" s="312"/>
      <c r="O25" s="313"/>
      <c r="P25" s="313"/>
      <c r="Q25" s="488"/>
      <c r="R25" s="488"/>
      <c r="S25" s="488"/>
      <c r="T25" s="583" t="s">
        <v>379</v>
      </c>
      <c r="U25" s="584"/>
      <c r="V25" s="302"/>
    </row>
    <row r="26" spans="1:43" s="105" customFormat="1" ht="23.4" customHeight="1" x14ac:dyDescent="0.45">
      <c r="A26" s="296"/>
      <c r="B26" s="496"/>
      <c r="C26" s="496"/>
      <c r="D26" s="496"/>
      <c r="E26" s="297"/>
      <c r="F26" s="306"/>
      <c r="G26" s="589" t="s">
        <v>397</v>
      </c>
      <c r="H26" s="589"/>
      <c r="I26" s="589"/>
      <c r="J26" s="589"/>
      <c r="K26" s="589"/>
      <c r="L26" s="589"/>
      <c r="M26" s="589"/>
      <c r="N26" s="589"/>
      <c r="O26" s="589"/>
      <c r="P26" s="589"/>
      <c r="Q26" s="589"/>
      <c r="R26" s="589"/>
      <c r="S26" s="589"/>
      <c r="T26" s="585"/>
      <c r="U26" s="586"/>
      <c r="V26" s="302"/>
      <c r="W26" s="94"/>
      <c r="X26" s="94"/>
      <c r="Y26" s="94"/>
      <c r="Z26" s="94"/>
      <c r="AA26" s="94"/>
      <c r="AB26" s="94"/>
      <c r="AC26" s="94"/>
      <c r="AD26" s="94"/>
      <c r="AE26" s="94"/>
      <c r="AF26" s="94"/>
      <c r="AG26" s="94"/>
      <c r="AH26" s="94"/>
      <c r="AI26" s="94"/>
      <c r="AJ26" s="94"/>
      <c r="AK26" s="94"/>
      <c r="AL26" s="94"/>
      <c r="AM26" s="94"/>
      <c r="AN26" s="94"/>
      <c r="AO26" s="94"/>
      <c r="AP26" s="94"/>
      <c r="AQ26" s="94"/>
    </row>
    <row r="27" spans="1:43" s="104" customFormat="1" ht="23.4" x14ac:dyDescent="0.45">
      <c r="A27" s="296"/>
      <c r="B27" s="479"/>
      <c r="C27" s="480"/>
      <c r="D27" s="480"/>
      <c r="E27" s="297"/>
      <c r="F27" s="306"/>
      <c r="G27" s="319"/>
      <c r="H27" s="319"/>
      <c r="I27" s="319"/>
      <c r="J27" s="320"/>
      <c r="K27" s="307"/>
      <c r="L27" s="313"/>
      <c r="M27" s="313"/>
      <c r="N27" s="321"/>
      <c r="O27" s="313"/>
      <c r="P27" s="313"/>
      <c r="Q27" s="488"/>
      <c r="R27" s="488"/>
      <c r="S27" s="488"/>
      <c r="T27" s="585"/>
      <c r="U27" s="586"/>
      <c r="V27" s="302"/>
      <c r="W27" s="3"/>
      <c r="X27" s="3"/>
      <c r="Y27" s="3"/>
      <c r="Z27" s="3"/>
      <c r="AA27" s="3"/>
      <c r="AB27" s="3"/>
      <c r="AC27" s="3"/>
      <c r="AD27" s="3"/>
      <c r="AE27" s="3"/>
      <c r="AF27" s="3"/>
      <c r="AG27" s="3"/>
      <c r="AH27" s="3"/>
      <c r="AI27" s="3"/>
      <c r="AJ27" s="3"/>
      <c r="AK27" s="3"/>
      <c r="AL27" s="3"/>
      <c r="AM27" s="3"/>
      <c r="AN27" s="3"/>
      <c r="AO27" s="3"/>
      <c r="AP27" s="3"/>
      <c r="AQ27" s="3"/>
    </row>
    <row r="28" spans="1:43" s="3" customFormat="1" ht="23.4" x14ac:dyDescent="0.45">
      <c r="A28" s="296"/>
      <c r="B28" s="481"/>
      <c r="C28" s="480"/>
      <c r="D28" s="480"/>
      <c r="E28" s="297"/>
      <c r="F28" s="299"/>
      <c r="G28" s="297"/>
      <c r="H28" s="310"/>
      <c r="I28" s="311"/>
      <c r="J28" s="315"/>
      <c r="K28" s="297"/>
      <c r="L28" s="310"/>
      <c r="M28" s="311"/>
      <c r="N28" s="314"/>
      <c r="O28" s="313"/>
      <c r="P28" s="313"/>
      <c r="Q28" s="313"/>
      <c r="R28" s="313"/>
      <c r="S28" s="313"/>
      <c r="T28" s="585"/>
      <c r="U28" s="586"/>
      <c r="V28" s="302"/>
    </row>
    <row r="29" spans="1:43" s="3" customFormat="1" ht="23.4" x14ac:dyDescent="0.45">
      <c r="A29" s="296"/>
      <c r="B29" s="481"/>
      <c r="C29" s="480"/>
      <c r="D29" s="480"/>
      <c r="E29" s="297"/>
      <c r="F29" s="299"/>
      <c r="G29" s="492"/>
      <c r="H29" s="492" t="s">
        <v>271</v>
      </c>
      <c r="I29" s="493"/>
      <c r="J29" s="493"/>
      <c r="K29" s="492"/>
      <c r="L29" s="493"/>
      <c r="M29" s="493" t="s">
        <v>272</v>
      </c>
      <c r="N29" s="494"/>
      <c r="O29" s="495"/>
      <c r="P29" s="495"/>
      <c r="Q29" s="494" t="s">
        <v>273</v>
      </c>
      <c r="R29" s="313"/>
      <c r="S29" s="313"/>
      <c r="T29" s="585"/>
      <c r="U29" s="586"/>
      <c r="V29" s="302"/>
    </row>
    <row r="30" spans="1:43" s="3" customFormat="1" ht="24" customHeight="1" thickBot="1" x14ac:dyDescent="0.5">
      <c r="A30" s="296"/>
      <c r="B30" s="582" t="s">
        <v>318</v>
      </c>
      <c r="C30" s="582"/>
      <c r="D30" s="582"/>
      <c r="E30" s="582"/>
      <c r="F30" s="491"/>
      <c r="G30" s="491" t="s">
        <v>378</v>
      </c>
      <c r="H30" s="313"/>
      <c r="I30" s="313"/>
      <c r="J30" s="315"/>
      <c r="K30" s="297"/>
      <c r="L30" s="310"/>
      <c r="M30" s="311"/>
      <c r="N30" s="312"/>
      <c r="O30" s="313"/>
      <c r="P30" s="313"/>
      <c r="Q30" s="313"/>
      <c r="R30" s="313"/>
      <c r="S30" s="313"/>
      <c r="T30" s="587"/>
      <c r="U30" s="588"/>
      <c r="V30" s="302"/>
    </row>
    <row r="31" spans="1:43" s="105" customFormat="1" ht="18" customHeight="1" x14ac:dyDescent="0.45">
      <c r="A31" s="296"/>
      <c r="B31" s="496"/>
      <c r="C31" s="496"/>
      <c r="D31" s="496"/>
      <c r="E31" s="297"/>
      <c r="F31" s="590" t="s">
        <v>398</v>
      </c>
      <c r="G31" s="590"/>
      <c r="H31" s="590"/>
      <c r="I31" s="590"/>
      <c r="J31" s="590"/>
      <c r="K31" s="590"/>
      <c r="L31" s="590"/>
      <c r="M31" s="590"/>
      <c r="N31" s="590"/>
      <c r="O31" s="590"/>
      <c r="P31" s="590"/>
      <c r="Q31" s="590"/>
      <c r="R31" s="590"/>
      <c r="S31" s="590"/>
      <c r="T31" s="304"/>
      <c r="U31" s="300"/>
      <c r="V31" s="302"/>
      <c r="W31" s="94"/>
      <c r="X31" s="94"/>
      <c r="Y31" s="94"/>
      <c r="Z31" s="94"/>
      <c r="AA31" s="94"/>
      <c r="AB31" s="94"/>
      <c r="AC31" s="94"/>
      <c r="AD31" s="94"/>
      <c r="AE31" s="94"/>
      <c r="AF31" s="94"/>
      <c r="AG31" s="94"/>
      <c r="AH31" s="94"/>
      <c r="AI31" s="94"/>
      <c r="AJ31" s="94"/>
      <c r="AK31" s="94"/>
      <c r="AL31" s="94"/>
      <c r="AM31" s="94"/>
      <c r="AN31" s="94"/>
      <c r="AO31" s="94"/>
      <c r="AP31" s="94"/>
      <c r="AQ31" s="94"/>
    </row>
    <row r="32" spans="1:43" s="104" customFormat="1" ht="18" x14ac:dyDescent="0.35">
      <c r="A32" s="296"/>
      <c r="B32" s="310"/>
      <c r="C32" s="297"/>
      <c r="D32" s="297"/>
      <c r="E32" s="297"/>
      <c r="F32" s="306"/>
      <c r="G32" s="319"/>
      <c r="H32" s="319"/>
      <c r="I32" s="319"/>
      <c r="J32" s="320"/>
      <c r="K32" s="307"/>
      <c r="L32" s="313"/>
      <c r="M32" s="313"/>
      <c r="N32" s="321"/>
      <c r="O32" s="313"/>
      <c r="P32" s="313"/>
      <c r="Q32" s="313"/>
      <c r="R32" s="313"/>
      <c r="S32" s="317"/>
      <c r="T32" s="304"/>
      <c r="U32" s="300"/>
      <c r="V32" s="302"/>
      <c r="W32" s="3"/>
      <c r="X32" s="3"/>
      <c r="Y32" s="3"/>
      <c r="Z32" s="3"/>
      <c r="AA32" s="3"/>
      <c r="AB32" s="3"/>
      <c r="AC32" s="3"/>
      <c r="AD32" s="3"/>
      <c r="AE32" s="3"/>
      <c r="AF32" s="3"/>
      <c r="AG32" s="3"/>
      <c r="AH32" s="3"/>
      <c r="AI32" s="3"/>
      <c r="AJ32" s="3"/>
      <c r="AK32" s="3"/>
      <c r="AL32" s="3"/>
      <c r="AM32" s="3"/>
      <c r="AN32" s="3"/>
      <c r="AO32" s="3"/>
      <c r="AP32" s="3"/>
      <c r="AQ32" s="3"/>
    </row>
    <row r="33" spans="1:43" s="104" customFormat="1" ht="18" x14ac:dyDescent="0.35">
      <c r="A33" s="296"/>
      <c r="B33" s="310"/>
      <c r="C33" s="297"/>
      <c r="D33" s="297"/>
      <c r="E33" s="297"/>
      <c r="F33" s="298"/>
      <c r="G33" s="319"/>
      <c r="H33" s="319"/>
      <c r="I33" s="319"/>
      <c r="J33" s="320"/>
      <c r="K33" s="307"/>
      <c r="L33" s="313"/>
      <c r="M33" s="313"/>
      <c r="N33" s="321"/>
      <c r="O33" s="313"/>
      <c r="P33" s="313"/>
      <c r="Q33" s="313"/>
      <c r="R33" s="313"/>
      <c r="S33" s="317"/>
      <c r="T33" s="304"/>
      <c r="U33" s="300"/>
      <c r="V33" s="302"/>
      <c r="W33" s="3"/>
      <c r="X33" s="3"/>
      <c r="Y33" s="3"/>
      <c r="Z33" s="3"/>
      <c r="AA33" s="3"/>
      <c r="AB33" s="3"/>
      <c r="AC33" s="3"/>
      <c r="AD33" s="3"/>
      <c r="AE33" s="3"/>
      <c r="AF33" s="3"/>
      <c r="AG33" s="3"/>
      <c r="AH33" s="3"/>
      <c r="AI33" s="3"/>
      <c r="AJ33" s="3"/>
      <c r="AK33" s="3"/>
      <c r="AL33" s="3"/>
      <c r="AM33" s="3"/>
      <c r="AN33" s="3"/>
      <c r="AO33" s="3"/>
      <c r="AP33" s="3"/>
      <c r="AQ33" s="3"/>
    </row>
    <row r="34" spans="1:43" s="104" customFormat="1" ht="21.6" thickBot="1" x14ac:dyDescent="0.45">
      <c r="A34" s="296"/>
      <c r="B34" s="310"/>
      <c r="C34" s="297"/>
      <c r="D34" s="297"/>
      <c r="E34" s="297"/>
      <c r="F34" s="298"/>
      <c r="G34" s="324" t="s">
        <v>0</v>
      </c>
      <c r="H34" s="324" t="s">
        <v>1</v>
      </c>
      <c r="I34" s="324" t="s">
        <v>2</v>
      </c>
      <c r="J34" s="324" t="s">
        <v>3</v>
      </c>
      <c r="K34" s="324" t="s">
        <v>4</v>
      </c>
      <c r="L34" s="324" t="s">
        <v>5</v>
      </c>
      <c r="M34" s="324" t="s">
        <v>6</v>
      </c>
      <c r="N34" s="324" t="s">
        <v>7</v>
      </c>
      <c r="O34" s="324" t="s">
        <v>8</v>
      </c>
      <c r="P34" s="324" t="s">
        <v>9</v>
      </c>
      <c r="Q34" s="324" t="s">
        <v>10</v>
      </c>
      <c r="R34" s="324" t="s">
        <v>11</v>
      </c>
      <c r="S34" s="317"/>
      <c r="T34" s="304"/>
      <c r="U34" s="300"/>
      <c r="V34" s="302"/>
      <c r="W34" s="3"/>
      <c r="X34" s="377"/>
      <c r="Y34" s="3"/>
      <c r="Z34" s="3"/>
      <c r="AA34" s="3"/>
      <c r="AB34" s="3"/>
      <c r="AC34" s="3"/>
      <c r="AD34" s="3"/>
      <c r="AE34" s="3"/>
      <c r="AF34" s="3"/>
      <c r="AG34" s="3"/>
      <c r="AH34" s="3"/>
      <c r="AI34" s="3"/>
      <c r="AJ34" s="3"/>
      <c r="AK34" s="3"/>
      <c r="AL34" s="3"/>
      <c r="AM34" s="3"/>
      <c r="AN34" s="3"/>
      <c r="AO34" s="3"/>
      <c r="AP34" s="3"/>
      <c r="AQ34" s="3"/>
    </row>
    <row r="35" spans="1:43" s="104" customFormat="1" ht="21.6" thickBot="1" x14ac:dyDescent="0.4">
      <c r="A35" s="296"/>
      <c r="B35" s="310"/>
      <c r="C35" s="297"/>
      <c r="D35" s="297"/>
      <c r="E35" s="297"/>
      <c r="F35" s="446" t="s">
        <v>400</v>
      </c>
      <c r="G35" s="106">
        <f>Inputs!B49</f>
        <v>0</v>
      </c>
      <c r="H35" s="106">
        <f>Inputs!C49</f>
        <v>0</v>
      </c>
      <c r="I35" s="106">
        <f>Inputs!D49</f>
        <v>0</v>
      </c>
      <c r="J35" s="106">
        <f>Inputs!E49</f>
        <v>0</v>
      </c>
      <c r="K35" s="106">
        <f>Inputs!F49</f>
        <v>6737.5990000000002</v>
      </c>
      <c r="L35" s="106">
        <f>Inputs!G49</f>
        <v>6520.2565999999997</v>
      </c>
      <c r="M35" s="106">
        <f>Inputs!H49</f>
        <v>7401.3955999999998</v>
      </c>
      <c r="N35" s="106">
        <f>Inputs!I49</f>
        <v>7401.3955999999998</v>
      </c>
      <c r="O35" s="106">
        <f>Inputs!J49</f>
        <v>813.48299999999995</v>
      </c>
      <c r="P35" s="106">
        <f>Inputs!K49</f>
        <v>840.5992</v>
      </c>
      <c r="Q35" s="106">
        <f>Inputs!L49</f>
        <v>211.13650000000001</v>
      </c>
      <c r="R35" s="106">
        <f>Inputs!M49</f>
        <v>218.17449999999999</v>
      </c>
      <c r="S35" s="317"/>
      <c r="T35" s="304"/>
      <c r="U35" s="300"/>
      <c r="V35" s="302"/>
      <c r="W35" s="3"/>
      <c r="X35" s="377"/>
      <c r="Y35" s="3"/>
      <c r="Z35" s="3"/>
      <c r="AA35" s="3"/>
      <c r="AB35" s="3"/>
      <c r="AC35" s="3"/>
      <c r="AD35" s="3"/>
      <c r="AE35" s="3"/>
      <c r="AF35" s="3"/>
      <c r="AG35" s="3"/>
      <c r="AH35" s="3"/>
      <c r="AI35" s="3"/>
      <c r="AJ35" s="3"/>
      <c r="AK35" s="3"/>
      <c r="AL35" s="3"/>
      <c r="AM35" s="3"/>
      <c r="AN35" s="3"/>
      <c r="AO35" s="3"/>
      <c r="AP35" s="3"/>
      <c r="AQ35" s="3"/>
    </row>
    <row r="36" spans="1:43" s="104" customFormat="1" ht="19.5" customHeight="1" thickBot="1" x14ac:dyDescent="0.4">
      <c r="A36" s="296"/>
      <c r="B36" s="297"/>
      <c r="C36" s="297"/>
      <c r="D36" s="297"/>
      <c r="E36" s="297"/>
      <c r="F36" s="447" t="s">
        <v>182</v>
      </c>
      <c r="G36" s="106">
        <f>Inputs!B45</f>
        <v>0</v>
      </c>
      <c r="H36" s="106">
        <f>Inputs!C45</f>
        <v>0</v>
      </c>
      <c r="I36" s="106">
        <f>Inputs!D45</f>
        <v>0</v>
      </c>
      <c r="J36" s="106">
        <f>Inputs!E45</f>
        <v>0</v>
      </c>
      <c r="K36" s="106">
        <f>Inputs!F45</f>
        <v>8427.71123920834</v>
      </c>
      <c r="L36" s="106">
        <f>Inputs!G45</f>
        <v>8155.8490660929992</v>
      </c>
      <c r="M36" s="106">
        <f>Inputs!H45</f>
        <v>10567.901575494949</v>
      </c>
      <c r="N36" s="106">
        <f>Inputs!I45</f>
        <v>10567.901575494949</v>
      </c>
      <c r="O36" s="106">
        <f>Inputs!J45</f>
        <v>1095.4559556188165</v>
      </c>
      <c r="P36" s="106">
        <f>Inputs!K45</f>
        <v>1131.9712798794512</v>
      </c>
      <c r="Q36" s="106">
        <f>Inputs!L45</f>
        <v>280.26478972287623</v>
      </c>
      <c r="R36" s="106">
        <f>Inputs!M45</f>
        <v>289.60710597728752</v>
      </c>
      <c r="S36" s="300"/>
      <c r="T36" s="304"/>
      <c r="U36" s="300"/>
      <c r="V36" s="305"/>
      <c r="W36" s="3"/>
      <c r="X36" s="3"/>
      <c r="Y36" s="3"/>
      <c r="Z36" s="3"/>
      <c r="AA36" s="3"/>
      <c r="AB36" s="3"/>
      <c r="AC36" s="3"/>
      <c r="AD36" s="3"/>
      <c r="AE36" s="3"/>
      <c r="AF36" s="3"/>
      <c r="AG36" s="3"/>
      <c r="AH36" s="3"/>
      <c r="AI36" s="3"/>
      <c r="AJ36" s="3"/>
      <c r="AK36" s="3"/>
      <c r="AL36" s="3"/>
      <c r="AM36" s="3"/>
      <c r="AN36" s="3"/>
      <c r="AO36" s="3"/>
      <c r="AP36" s="3"/>
      <c r="AQ36" s="3"/>
    </row>
    <row r="37" spans="1:43" s="104" customFormat="1" ht="18.600000000000001" thickBot="1" x14ac:dyDescent="0.4">
      <c r="A37" s="296"/>
      <c r="B37" s="297"/>
      <c r="C37" s="297"/>
      <c r="D37" s="297"/>
      <c r="E37" s="297"/>
      <c r="F37" s="447" t="s">
        <v>183</v>
      </c>
      <c r="G37" s="106">
        <f>Inputs!B46</f>
        <v>0</v>
      </c>
      <c r="H37" s="106">
        <f>Inputs!C46</f>
        <v>0</v>
      </c>
      <c r="I37" s="106">
        <f>Inputs!D46</f>
        <v>0</v>
      </c>
      <c r="J37" s="106">
        <f>Inputs!E46</f>
        <v>0</v>
      </c>
      <c r="K37" s="106">
        <f>Inputs!F46</f>
        <v>5047.4867607916603</v>
      </c>
      <c r="L37" s="106">
        <f>Inputs!G46</f>
        <v>4884.6641339070002</v>
      </c>
      <c r="M37" s="106">
        <f>Inputs!H46</f>
        <v>4234.889624505051</v>
      </c>
      <c r="N37" s="106">
        <f>Inputs!I46</f>
        <v>4234.889624505051</v>
      </c>
      <c r="O37" s="106">
        <f>Inputs!J46</f>
        <v>531.51004438118343</v>
      </c>
      <c r="P37" s="106">
        <f>Inputs!K46</f>
        <v>549.22712012054876</v>
      </c>
      <c r="Q37" s="106">
        <f>Inputs!L46</f>
        <v>142.00821027712382</v>
      </c>
      <c r="R37" s="106">
        <f>Inputs!M46</f>
        <v>146.74189402271247</v>
      </c>
      <c r="S37" s="300"/>
      <c r="T37" s="304"/>
      <c r="U37" s="300"/>
      <c r="V37" s="302"/>
      <c r="W37" s="3"/>
      <c r="X37" s="3"/>
      <c r="Y37" s="3"/>
      <c r="Z37" s="3"/>
      <c r="AA37" s="3"/>
      <c r="AB37" s="3"/>
      <c r="AC37" s="3"/>
      <c r="AD37" s="3"/>
      <c r="AE37" s="3"/>
      <c r="AF37" s="3"/>
      <c r="AG37" s="3"/>
      <c r="AH37" s="3"/>
      <c r="AI37" s="3"/>
      <c r="AJ37" s="3"/>
      <c r="AK37" s="3"/>
      <c r="AL37" s="3"/>
      <c r="AM37" s="3"/>
      <c r="AN37" s="3"/>
      <c r="AO37" s="3"/>
      <c r="AP37" s="3"/>
      <c r="AQ37" s="3"/>
    </row>
    <row r="38" spans="1:43" s="104" customFormat="1" ht="18" x14ac:dyDescent="0.35">
      <c r="A38" s="296"/>
      <c r="B38" s="297"/>
      <c r="C38" s="297"/>
      <c r="D38" s="297"/>
      <c r="E38" s="297"/>
      <c r="F38" s="308"/>
      <c r="G38" s="297"/>
      <c r="H38" s="93"/>
      <c r="I38" s="92"/>
      <c r="J38" s="92"/>
      <c r="K38" s="92"/>
      <c r="L38" s="92"/>
      <c r="M38" s="92"/>
      <c r="N38" s="92"/>
      <c r="O38" s="92"/>
      <c r="P38" s="92"/>
      <c r="Q38" s="92"/>
      <c r="R38" s="92"/>
      <c r="S38" s="300"/>
      <c r="T38" s="304"/>
      <c r="U38" s="300"/>
      <c r="V38" s="302"/>
      <c r="W38" s="3"/>
      <c r="X38" s="3"/>
      <c r="Y38" s="3"/>
      <c r="Z38" s="3"/>
      <c r="AA38" s="3"/>
      <c r="AB38" s="3"/>
      <c r="AC38" s="3"/>
      <c r="AD38" s="3"/>
      <c r="AE38" s="3"/>
      <c r="AF38" s="3"/>
      <c r="AG38" s="3"/>
      <c r="AH38" s="3"/>
      <c r="AI38" s="3"/>
      <c r="AJ38" s="3"/>
      <c r="AK38" s="3"/>
      <c r="AL38" s="3"/>
      <c r="AM38" s="3"/>
      <c r="AN38" s="3"/>
      <c r="AO38" s="3"/>
      <c r="AP38" s="3"/>
      <c r="AQ38" s="3"/>
    </row>
    <row r="39" spans="1:43" s="104" customFormat="1" ht="18.600000000000001" thickBot="1" x14ac:dyDescent="0.4">
      <c r="A39" s="296"/>
      <c r="B39" s="297"/>
      <c r="C39" s="297"/>
      <c r="D39" s="297"/>
      <c r="E39" s="297"/>
      <c r="F39" s="300"/>
      <c r="G39" s="300"/>
      <c r="H39" s="300"/>
      <c r="I39" s="300"/>
      <c r="J39" s="300"/>
      <c r="K39" s="300"/>
      <c r="L39" s="300"/>
      <c r="M39" s="300"/>
      <c r="N39" s="300"/>
      <c r="O39" s="300"/>
      <c r="P39" s="300"/>
      <c r="Q39" s="300"/>
      <c r="R39" s="300"/>
      <c r="S39" s="300"/>
      <c r="T39" s="304"/>
      <c r="U39" s="300"/>
      <c r="V39" s="302"/>
      <c r="W39" s="3"/>
      <c r="X39" s="3"/>
      <c r="Y39" s="3"/>
      <c r="Z39" s="3"/>
      <c r="AA39" s="3"/>
      <c r="AB39" s="3"/>
      <c r="AC39" s="3"/>
      <c r="AD39" s="3"/>
      <c r="AE39" s="3"/>
      <c r="AF39" s="3"/>
      <c r="AG39" s="3"/>
      <c r="AH39" s="3"/>
      <c r="AI39" s="3"/>
      <c r="AJ39" s="3"/>
      <c r="AK39" s="3"/>
      <c r="AL39" s="3"/>
      <c r="AM39" s="3"/>
      <c r="AN39" s="3"/>
      <c r="AO39" s="3"/>
      <c r="AP39" s="3"/>
      <c r="AQ39" s="3"/>
    </row>
    <row r="40" spans="1:43" s="104" customFormat="1" ht="21" customHeight="1" thickBot="1" x14ac:dyDescent="0.45">
      <c r="A40" s="102"/>
      <c r="B40" s="325" t="s">
        <v>46</v>
      </c>
      <c r="C40" s="98"/>
      <c r="D40" s="98"/>
      <c r="E40" s="98"/>
      <c r="F40" s="99"/>
      <c r="G40" s="98"/>
      <c r="H40" s="100"/>
      <c r="I40" s="98"/>
      <c r="J40" s="98"/>
      <c r="K40" s="98"/>
      <c r="L40" s="98"/>
      <c r="M40" s="98"/>
      <c r="N40" s="98"/>
      <c r="O40" s="98"/>
      <c r="P40" s="98"/>
      <c r="Q40" s="98"/>
      <c r="R40" s="98"/>
      <c r="S40" s="100"/>
      <c r="T40" s="101"/>
      <c r="U40" s="100"/>
      <c r="V40" s="103"/>
      <c r="W40" s="3"/>
      <c r="X40" s="3"/>
      <c r="Y40" s="3"/>
      <c r="Z40" s="3"/>
      <c r="AA40" s="3"/>
      <c r="AB40" s="3"/>
      <c r="AC40" s="3"/>
      <c r="AD40" s="3"/>
      <c r="AE40" s="3"/>
      <c r="AF40" s="3"/>
      <c r="AG40" s="3"/>
      <c r="AH40" s="3"/>
      <c r="AI40" s="3"/>
      <c r="AJ40" s="3"/>
      <c r="AK40" s="3"/>
      <c r="AL40" s="3"/>
      <c r="AM40" s="3"/>
      <c r="AN40" s="3"/>
      <c r="AO40" s="3"/>
      <c r="AP40" s="3"/>
      <c r="AQ40" s="3"/>
    </row>
    <row r="41" spans="1:43" s="104" customFormat="1" ht="18.75" customHeight="1" thickBot="1" x14ac:dyDescent="0.4">
      <c r="A41" s="290"/>
      <c r="B41" s="292"/>
      <c r="C41" s="292"/>
      <c r="D41" s="336"/>
      <c r="E41" s="292"/>
      <c r="F41" s="329"/>
      <c r="G41" s="292"/>
      <c r="H41" s="292"/>
      <c r="I41" s="292"/>
      <c r="J41" s="292"/>
      <c r="K41" s="292"/>
      <c r="L41" s="292"/>
      <c r="M41" s="292"/>
      <c r="N41" s="292"/>
      <c r="O41" s="292"/>
      <c r="P41" s="292"/>
      <c r="Q41" s="292"/>
      <c r="R41" s="292"/>
      <c r="S41" s="329"/>
      <c r="T41" s="330"/>
      <c r="U41" s="329"/>
      <c r="V41" s="331"/>
      <c r="W41" s="3"/>
      <c r="X41" s="377"/>
      <c r="Y41" s="3"/>
      <c r="Z41" s="3"/>
      <c r="AA41" s="3"/>
      <c r="AB41" s="3"/>
      <c r="AC41" s="3"/>
      <c r="AD41" s="3"/>
      <c r="AE41" s="3"/>
      <c r="AF41" s="3"/>
      <c r="AG41" s="3"/>
      <c r="AH41" s="3"/>
      <c r="AI41" s="3"/>
      <c r="AJ41" s="3"/>
      <c r="AK41" s="3"/>
      <c r="AL41" s="3"/>
      <c r="AM41" s="3"/>
      <c r="AN41" s="3"/>
      <c r="AO41" s="3"/>
      <c r="AP41" s="3"/>
      <c r="AQ41" s="3"/>
    </row>
    <row r="42" spans="1:43" s="104" customFormat="1" ht="27.6" customHeight="1" thickBot="1" x14ac:dyDescent="0.4">
      <c r="A42" s="337"/>
      <c r="B42" s="334"/>
      <c r="C42" s="334"/>
      <c r="D42" s="292"/>
      <c r="E42" s="292"/>
      <c r="F42" s="292"/>
      <c r="G42" s="292"/>
      <c r="H42" s="448" t="s">
        <v>401</v>
      </c>
      <c r="I42" s="524">
        <f>SUM(G35:R35)</f>
        <v>30144.04</v>
      </c>
      <c r="J42" s="329"/>
      <c r="K42" s="563" t="s">
        <v>399</v>
      </c>
      <c r="L42" s="564"/>
      <c r="M42" s="564"/>
      <c r="N42" s="564"/>
      <c r="O42" s="564"/>
      <c r="P42" s="564"/>
      <c r="Q42" s="564"/>
      <c r="R42" s="564"/>
      <c r="S42" s="564"/>
      <c r="T42" s="564"/>
      <c r="U42" s="565"/>
      <c r="V42" s="331"/>
      <c r="W42" s="3"/>
      <c r="X42" s="377"/>
      <c r="Y42" s="3"/>
      <c r="Z42" s="3"/>
      <c r="AA42" s="3"/>
      <c r="AB42" s="3"/>
      <c r="AC42" s="3"/>
      <c r="AD42" s="3"/>
      <c r="AE42" s="3"/>
      <c r="AF42" s="3"/>
      <c r="AG42" s="3"/>
      <c r="AH42" s="3"/>
      <c r="AI42" s="3"/>
      <c r="AJ42" s="3"/>
      <c r="AK42" s="3"/>
      <c r="AL42" s="3"/>
      <c r="AM42" s="3"/>
      <c r="AN42" s="3"/>
      <c r="AO42" s="3"/>
      <c r="AP42" s="3"/>
      <c r="AQ42" s="3"/>
    </row>
    <row r="43" spans="1:43" s="104" customFormat="1" ht="27.6" customHeight="1" thickBot="1" x14ac:dyDescent="0.4">
      <c r="A43" s="337"/>
      <c r="B43" s="334"/>
      <c r="C43" s="334"/>
      <c r="D43" s="292"/>
      <c r="E43" s="292"/>
      <c r="F43" s="292"/>
      <c r="G43" s="292"/>
      <c r="H43" s="449" t="s">
        <v>186</v>
      </c>
      <c r="I43" s="524">
        <f>SUM(G36:R36)</f>
        <v>40516.662587489671</v>
      </c>
      <c r="J43" s="329"/>
      <c r="K43" s="566"/>
      <c r="L43" s="567"/>
      <c r="M43" s="567"/>
      <c r="N43" s="567"/>
      <c r="O43" s="567"/>
      <c r="P43" s="567"/>
      <c r="Q43" s="567"/>
      <c r="R43" s="567"/>
      <c r="S43" s="567"/>
      <c r="T43" s="567"/>
      <c r="U43" s="568"/>
      <c r="V43" s="331"/>
      <c r="W43" s="3"/>
      <c r="X43" s="3"/>
      <c r="Y43" s="3"/>
      <c r="Z43" s="3"/>
      <c r="AA43" s="3"/>
      <c r="AB43" s="3"/>
      <c r="AC43" s="3"/>
      <c r="AD43" s="3"/>
      <c r="AE43" s="3"/>
      <c r="AF43" s="3"/>
      <c r="AG43" s="3"/>
      <c r="AH43" s="3"/>
      <c r="AI43" s="3"/>
      <c r="AJ43" s="3"/>
      <c r="AK43" s="3"/>
      <c r="AL43" s="3"/>
      <c r="AM43" s="3"/>
      <c r="AN43" s="3"/>
      <c r="AO43" s="3"/>
      <c r="AP43" s="3"/>
      <c r="AQ43" s="3"/>
    </row>
    <row r="44" spans="1:43" s="104" customFormat="1" ht="27.6" customHeight="1" thickBot="1" x14ac:dyDescent="0.4">
      <c r="A44" s="337"/>
      <c r="B44" s="334"/>
      <c r="C44" s="334"/>
      <c r="D44" s="292"/>
      <c r="E44" s="292"/>
      <c r="F44" s="292"/>
      <c r="G44" s="292"/>
      <c r="H44" s="449" t="s">
        <v>187</v>
      </c>
      <c r="I44" s="524">
        <f>SUM(G37:R37)</f>
        <v>19771.417412510327</v>
      </c>
      <c r="J44" s="329"/>
      <c r="K44" s="569"/>
      <c r="L44" s="570"/>
      <c r="M44" s="570"/>
      <c r="N44" s="570"/>
      <c r="O44" s="570"/>
      <c r="P44" s="570"/>
      <c r="Q44" s="570"/>
      <c r="R44" s="570"/>
      <c r="S44" s="570"/>
      <c r="T44" s="570"/>
      <c r="U44" s="571"/>
      <c r="V44" s="331"/>
      <c r="W44" s="3"/>
      <c r="X44" s="3"/>
      <c r="Y44" s="3"/>
      <c r="Z44" s="3"/>
      <c r="AA44" s="3"/>
      <c r="AB44" s="3"/>
      <c r="AC44" s="3"/>
      <c r="AD44" s="3"/>
      <c r="AE44" s="3"/>
      <c r="AF44" s="3"/>
      <c r="AG44" s="3"/>
      <c r="AH44" s="3"/>
      <c r="AI44" s="3"/>
      <c r="AJ44" s="3"/>
      <c r="AK44" s="3"/>
      <c r="AL44" s="3"/>
      <c r="AM44" s="3"/>
      <c r="AN44" s="3"/>
      <c r="AO44" s="3"/>
      <c r="AP44" s="3"/>
      <c r="AQ44" s="3"/>
    </row>
    <row r="45" spans="1:43" s="104" customFormat="1" ht="21" customHeight="1" x14ac:dyDescent="0.35">
      <c r="A45" s="337"/>
      <c r="B45" s="338"/>
      <c r="C45" s="334"/>
      <c r="D45" s="292"/>
      <c r="E45" s="292"/>
      <c r="F45" s="292"/>
      <c r="G45" s="292"/>
      <c r="H45" s="339"/>
      <c r="I45" s="292"/>
      <c r="J45" s="329"/>
      <c r="K45" s="292"/>
      <c r="L45" s="459"/>
      <c r="M45" s="459"/>
      <c r="N45" s="459"/>
      <c r="O45" s="459"/>
      <c r="P45" s="459"/>
      <c r="Q45" s="459"/>
      <c r="R45" s="459"/>
      <c r="S45" s="459"/>
      <c r="T45" s="459"/>
      <c r="U45" s="459"/>
      <c r="V45" s="331"/>
      <c r="W45" s="3"/>
      <c r="X45" s="3"/>
      <c r="Y45" s="3"/>
      <c r="Z45" s="3"/>
      <c r="AA45" s="3"/>
      <c r="AB45" s="3"/>
      <c r="AC45" s="3"/>
      <c r="AD45" s="3"/>
      <c r="AE45" s="3"/>
      <c r="AF45" s="3"/>
      <c r="AG45" s="3"/>
      <c r="AH45" s="3"/>
      <c r="AI45" s="3"/>
      <c r="AJ45" s="3"/>
      <c r="AK45" s="3"/>
      <c r="AL45" s="3"/>
      <c r="AM45" s="3"/>
      <c r="AN45" s="3"/>
      <c r="AO45" s="3"/>
      <c r="AP45" s="3"/>
      <c r="AQ45" s="3"/>
    </row>
    <row r="46" spans="1:43" s="104" customFormat="1" ht="18.45" customHeight="1" x14ac:dyDescent="0.35">
      <c r="A46" s="337"/>
      <c r="B46" s="338"/>
      <c r="C46" s="334"/>
      <c r="D46" s="292"/>
      <c r="E46" s="292"/>
      <c r="F46" s="292"/>
      <c r="G46" s="292"/>
      <c r="H46" s="339"/>
      <c r="I46" s="292"/>
      <c r="J46" s="329"/>
      <c r="K46" s="333"/>
      <c r="L46" s="459"/>
      <c r="M46" s="459"/>
      <c r="N46" s="459"/>
      <c r="O46" s="459"/>
      <c r="P46" s="459"/>
      <c r="Q46" s="459"/>
      <c r="R46" s="459"/>
      <c r="S46" s="459"/>
      <c r="T46" s="459"/>
      <c r="U46" s="459"/>
      <c r="V46" s="331"/>
      <c r="W46" s="3"/>
      <c r="X46" s="3"/>
      <c r="Y46" s="3"/>
      <c r="Z46" s="3"/>
      <c r="AA46" s="3"/>
      <c r="AB46" s="3"/>
      <c r="AC46" s="3"/>
      <c r="AD46" s="3"/>
      <c r="AE46" s="3"/>
      <c r="AF46" s="3"/>
      <c r="AG46" s="3"/>
      <c r="AH46" s="3"/>
      <c r="AI46" s="3"/>
      <c r="AJ46" s="3"/>
      <c r="AK46" s="3"/>
      <c r="AL46" s="3"/>
      <c r="AM46" s="3"/>
      <c r="AN46" s="3"/>
      <c r="AO46" s="3"/>
      <c r="AP46" s="3"/>
      <c r="AQ46" s="3"/>
    </row>
    <row r="47" spans="1:43" s="104" customFormat="1" ht="18.45" customHeight="1" thickBot="1" x14ac:dyDescent="0.4">
      <c r="A47" s="337"/>
      <c r="B47" s="338"/>
      <c r="C47" s="334"/>
      <c r="D47" s="292"/>
      <c r="E47" s="292"/>
      <c r="F47" s="292"/>
      <c r="G47" s="292"/>
      <c r="H47" s="339"/>
      <c r="I47" s="292"/>
      <c r="J47" s="329"/>
      <c r="K47" s="333"/>
      <c r="L47" s="332"/>
      <c r="M47" s="332"/>
      <c r="N47" s="332"/>
      <c r="O47" s="332"/>
      <c r="P47" s="332"/>
      <c r="Q47" s="332"/>
      <c r="R47" s="332"/>
      <c r="S47" s="332"/>
      <c r="T47" s="332"/>
      <c r="U47" s="332"/>
      <c r="V47" s="331"/>
      <c r="W47" s="3"/>
      <c r="X47" s="3"/>
      <c r="Y47" s="3"/>
      <c r="Z47" s="3"/>
      <c r="AA47" s="3"/>
      <c r="AB47" s="3"/>
      <c r="AC47" s="3"/>
      <c r="AD47" s="3"/>
      <c r="AE47" s="3"/>
      <c r="AF47" s="3"/>
      <c r="AG47" s="3"/>
      <c r="AH47" s="3"/>
      <c r="AI47" s="3"/>
      <c r="AJ47" s="3"/>
      <c r="AK47" s="3"/>
      <c r="AL47" s="3"/>
      <c r="AM47" s="3"/>
      <c r="AN47" s="3"/>
      <c r="AO47" s="3"/>
      <c r="AP47" s="3"/>
      <c r="AQ47" s="3"/>
    </row>
    <row r="48" spans="1:43" s="104" customFormat="1" ht="24" thickBot="1" x14ac:dyDescent="0.5">
      <c r="A48" s="337"/>
      <c r="B48" s="478" t="s">
        <v>344</v>
      </c>
      <c r="C48" s="334"/>
      <c r="D48" s="292"/>
      <c r="E48" s="292"/>
      <c r="F48" s="560" t="s">
        <v>342</v>
      </c>
      <c r="G48" s="561"/>
      <c r="H48" s="561"/>
      <c r="I48" s="561"/>
      <c r="J48" s="562"/>
      <c r="K48" s="333"/>
      <c r="L48" s="333"/>
      <c r="M48" s="333"/>
      <c r="N48" s="333"/>
      <c r="O48" s="470"/>
      <c r="P48" s="461"/>
      <c r="Q48" s="461"/>
      <c r="R48" s="461"/>
      <c r="S48" s="461"/>
      <c r="T48" s="461"/>
      <c r="U48" s="462"/>
      <c r="V48" s="335"/>
      <c r="W48" s="3"/>
      <c r="X48" s="3"/>
      <c r="Y48" s="3"/>
      <c r="Z48" s="3"/>
      <c r="AA48" s="3"/>
      <c r="AB48" s="3"/>
      <c r="AC48" s="3"/>
      <c r="AD48" s="3"/>
      <c r="AE48" s="3"/>
      <c r="AF48" s="3"/>
      <c r="AG48" s="3"/>
      <c r="AH48" s="3"/>
      <c r="AI48" s="3"/>
      <c r="AJ48" s="3"/>
      <c r="AK48" s="3"/>
      <c r="AL48" s="3"/>
      <c r="AM48" s="3"/>
      <c r="AN48" s="3"/>
      <c r="AO48" s="3"/>
      <c r="AP48" s="3"/>
      <c r="AQ48" s="3"/>
    </row>
    <row r="49" spans="1:43" s="104" customFormat="1" ht="24" customHeight="1" thickBot="1" x14ac:dyDescent="0.4">
      <c r="A49" s="337"/>
      <c r="B49" s="334"/>
      <c r="C49" s="334"/>
      <c r="D49" s="292"/>
      <c r="E49" s="334"/>
      <c r="F49" s="591" t="s">
        <v>343</v>
      </c>
      <c r="G49" s="592"/>
      <c r="H49" s="592"/>
      <c r="I49" s="592"/>
      <c r="J49" s="593"/>
      <c r="K49" s="431"/>
      <c r="L49" s="431"/>
      <c r="M49" s="431"/>
      <c r="N49" s="431"/>
      <c r="O49" s="559"/>
      <c r="P49" s="456"/>
      <c r="Q49" s="456"/>
      <c r="R49" s="529" t="s">
        <v>224</v>
      </c>
      <c r="S49" s="530"/>
      <c r="T49" s="456"/>
      <c r="U49" s="464"/>
      <c r="V49" s="331"/>
      <c r="W49" s="3"/>
      <c r="X49" s="3"/>
      <c r="Y49" s="3"/>
      <c r="Z49" s="3"/>
      <c r="AA49" s="3"/>
      <c r="AB49" s="3"/>
      <c r="AC49" s="3"/>
      <c r="AD49" s="3"/>
      <c r="AE49" s="3"/>
      <c r="AF49" s="3"/>
      <c r="AG49" s="3"/>
      <c r="AH49" s="3"/>
      <c r="AI49" s="3"/>
      <c r="AJ49" s="3"/>
      <c r="AK49" s="3"/>
      <c r="AL49" s="3"/>
      <c r="AM49" s="3"/>
      <c r="AN49" s="3"/>
      <c r="AO49" s="3"/>
      <c r="AP49" s="3"/>
      <c r="AQ49" s="3"/>
    </row>
    <row r="50" spans="1:43" s="104" customFormat="1" ht="19.05" customHeight="1" thickBot="1" x14ac:dyDescent="0.4">
      <c r="A50" s="337"/>
      <c r="B50" s="334"/>
      <c r="C50" s="334"/>
      <c r="D50" s="292"/>
      <c r="E50" s="334"/>
      <c r="F50" s="432">
        <v>2025</v>
      </c>
      <c r="G50" s="433">
        <v>2026</v>
      </c>
      <c r="H50" s="433">
        <v>2027</v>
      </c>
      <c r="I50" s="433">
        <v>2028</v>
      </c>
      <c r="J50" s="434">
        <v>2029</v>
      </c>
      <c r="K50" s="431"/>
      <c r="L50" s="431"/>
      <c r="M50" s="431"/>
      <c r="N50" s="431"/>
      <c r="O50" s="559"/>
      <c r="P50" s="456"/>
      <c r="Q50" s="456"/>
      <c r="R50" s="531"/>
      <c r="S50" s="532"/>
      <c r="T50" s="456"/>
      <c r="U50" s="464"/>
      <c r="V50" s="331"/>
      <c r="W50" s="3"/>
      <c r="X50" s="3"/>
      <c r="Y50" s="3"/>
      <c r="Z50" s="3"/>
      <c r="AA50" s="3"/>
      <c r="AB50" s="3"/>
      <c r="AC50" s="3"/>
      <c r="AD50" s="3"/>
      <c r="AE50" s="3"/>
      <c r="AF50" s="3"/>
      <c r="AG50" s="3"/>
      <c r="AH50" s="3"/>
      <c r="AI50" s="3"/>
      <c r="AJ50" s="3"/>
      <c r="AK50" s="3"/>
      <c r="AL50" s="3"/>
      <c r="AM50" s="3"/>
      <c r="AN50" s="3"/>
      <c r="AO50" s="3"/>
      <c r="AP50" s="3"/>
      <c r="AQ50" s="3"/>
    </row>
    <row r="51" spans="1:43" s="107" customFormat="1" ht="26.4" customHeight="1" x14ac:dyDescent="0.35">
      <c r="A51" s="337"/>
      <c r="B51" s="334"/>
      <c r="C51" s="334"/>
      <c r="D51" s="292"/>
      <c r="E51" s="476" t="s">
        <v>38</v>
      </c>
      <c r="F51" s="518">
        <f>IF(Inputs!T5=1,ACL!B4,IF(Inputs!T5=2,ACL!B8,IF(Inputs!T5=3,ACL!B12,ACL!B20)))</f>
        <v>23678.322499999998</v>
      </c>
      <c r="G51" s="519">
        <f>IF(Inputs!T5=1,ACL!C4,IF(Inputs!T5=2,ACL!C8,IF(Inputs!T5=3,ACL!C12,ACL!C20)))</f>
        <v>26052.648000000005</v>
      </c>
      <c r="H51" s="519">
        <f>IF(Inputs!T5=1,ACL!D4,IF(Inputs!T5=2,ACL!D8,IF(Inputs!T5=3,ACL!D12,IF(Inputs!T5=4,ACL!D16,ACL!D20))))</f>
        <v>27478.056499999995</v>
      </c>
      <c r="I51" s="519">
        <f>IF(Inputs!T5=1,ACL!E4,IF(Inputs!T5=2,ACL!E8,IF(Inputs!T5=3,ACL!E12,IF(Inputs!T5=4,ACL!E16,ACL!E20))))</f>
        <v>28903.236999999997</v>
      </c>
      <c r="J51" s="520">
        <f>IF(Inputs!T5=1,ACL!F4,IF(Inputs!T5=2,ACL!F8,IF(Inputs!T5=3,ACL!F12,IF(Inputs!T5=4,ACL!F16,ACL!F20))))</f>
        <v>29853.18</v>
      </c>
      <c r="K51" s="431"/>
      <c r="L51" s="431"/>
      <c r="M51" s="431"/>
      <c r="N51" s="431"/>
      <c r="O51" s="463"/>
      <c r="P51" s="474"/>
      <c r="Q51" s="475" t="s">
        <v>38</v>
      </c>
      <c r="R51" s="533">
        <v>25000</v>
      </c>
      <c r="S51" s="534"/>
      <c r="T51" s="456"/>
      <c r="U51" s="464"/>
      <c r="V51" s="331"/>
      <c r="W51" s="97"/>
      <c r="X51" s="97"/>
      <c r="Y51" s="97"/>
      <c r="Z51" s="97"/>
      <c r="AA51" s="97"/>
      <c r="AB51" s="97"/>
      <c r="AC51" s="97"/>
      <c r="AD51" s="97"/>
      <c r="AE51" s="97"/>
      <c r="AF51" s="97"/>
      <c r="AG51" s="97"/>
      <c r="AH51" s="97"/>
      <c r="AI51" s="97"/>
      <c r="AJ51" s="97"/>
      <c r="AK51" s="97"/>
      <c r="AL51" s="97"/>
      <c r="AM51" s="97"/>
      <c r="AN51" s="97"/>
      <c r="AO51" s="97"/>
      <c r="AP51" s="97"/>
      <c r="AQ51" s="97"/>
    </row>
    <row r="52" spans="1:43" s="104" customFormat="1" ht="26.4" customHeight="1" x14ac:dyDescent="0.35">
      <c r="A52" s="337"/>
      <c r="B52" s="334"/>
      <c r="C52" s="334"/>
      <c r="D52" s="292"/>
      <c r="E52" s="476" t="s">
        <v>77</v>
      </c>
      <c r="F52" s="521">
        <f>$I$42-F51</f>
        <v>6465.7175000000025</v>
      </c>
      <c r="G52" s="522">
        <f>$I$42-G51</f>
        <v>4091.3919999999962</v>
      </c>
      <c r="H52" s="522">
        <f>$I$42-H51</f>
        <v>2665.9835000000057</v>
      </c>
      <c r="I52" s="522">
        <f>$I$42-I51</f>
        <v>1240.8030000000035</v>
      </c>
      <c r="J52" s="523">
        <f>$I$42-J51</f>
        <v>290.86000000000058</v>
      </c>
      <c r="K52" s="431"/>
      <c r="L52" s="431"/>
      <c r="M52" s="431"/>
      <c r="N52" s="431"/>
      <c r="O52" s="463"/>
      <c r="P52" s="474"/>
      <c r="Q52" s="475" t="s">
        <v>77</v>
      </c>
      <c r="R52" s="535">
        <f>$I$42-R51</f>
        <v>5144.0400000000009</v>
      </c>
      <c r="S52" s="536"/>
      <c r="T52" s="456"/>
      <c r="U52" s="464"/>
      <c r="V52" s="331"/>
      <c r="W52" s="3"/>
      <c r="X52" s="3"/>
      <c r="Y52" s="3"/>
      <c r="Z52" s="3"/>
      <c r="AA52" s="3"/>
      <c r="AB52" s="3"/>
      <c r="AC52" s="3"/>
      <c r="AD52" s="3"/>
      <c r="AE52" s="3"/>
      <c r="AF52" s="3"/>
      <c r="AG52" s="3"/>
      <c r="AH52" s="3"/>
      <c r="AI52" s="3"/>
      <c r="AJ52" s="3"/>
      <c r="AK52" s="3"/>
      <c r="AL52" s="3"/>
      <c r="AM52" s="3"/>
      <c r="AN52" s="3"/>
      <c r="AO52" s="3"/>
      <c r="AP52" s="3"/>
      <c r="AQ52" s="3"/>
    </row>
    <row r="53" spans="1:43" ht="36" customHeight="1" thickBot="1" x14ac:dyDescent="0.4">
      <c r="A53" s="337"/>
      <c r="B53" s="334"/>
      <c r="C53" s="334"/>
      <c r="D53" s="292"/>
      <c r="E53" s="477" t="s">
        <v>358</v>
      </c>
      <c r="F53" s="435">
        <f>F52/F51</f>
        <v>0.27306484654899021</v>
      </c>
      <c r="G53" s="436">
        <f>G52/G51</f>
        <v>0.15704323030810516</v>
      </c>
      <c r="H53" s="436">
        <f>H52/H51</f>
        <v>9.7022273027206493E-2</v>
      </c>
      <c r="I53" s="436">
        <f>I52/I51</f>
        <v>4.292955145473857E-2</v>
      </c>
      <c r="J53" s="437">
        <f>J52/J51</f>
        <v>9.7430156519339173E-3</v>
      </c>
      <c r="K53" s="594" t="str">
        <f>IF(COUNTIF(C53:F53,"&gt;0%")&gt;0,"&lt;---Yellow highlighting denotes projected overage.","")</f>
        <v>&lt;---Yellow highlighting denotes projected overage.</v>
      </c>
      <c r="L53" s="594"/>
      <c r="M53" s="594"/>
      <c r="N53" s="431"/>
      <c r="O53" s="471"/>
      <c r="P53" s="541" t="s">
        <v>357</v>
      </c>
      <c r="Q53" s="541"/>
      <c r="R53" s="548">
        <f>R52/R51</f>
        <v>0.20576160000000004</v>
      </c>
      <c r="S53" s="549"/>
      <c r="T53" s="457"/>
      <c r="U53" s="465"/>
      <c r="V53" s="331"/>
      <c r="W53" s="97"/>
      <c r="X53" s="97"/>
      <c r="Y53" s="97"/>
      <c r="Z53" s="97"/>
      <c r="AA53" s="97"/>
      <c r="AB53" s="97"/>
      <c r="AC53" s="97"/>
      <c r="AD53" s="97"/>
      <c r="AE53" s="97"/>
      <c r="AF53" s="97"/>
      <c r="AG53" s="97"/>
      <c r="AH53" s="97"/>
      <c r="AI53" s="97"/>
      <c r="AJ53" s="97"/>
      <c r="AK53" s="97"/>
      <c r="AL53" s="97"/>
      <c r="AM53" s="97"/>
      <c r="AN53" s="97"/>
      <c r="AO53" s="97"/>
      <c r="AP53" s="97"/>
      <c r="AQ53" s="97"/>
    </row>
    <row r="54" spans="1:43" ht="18.45" customHeight="1" thickBot="1" x14ac:dyDescent="0.4">
      <c r="A54" s="337"/>
      <c r="B54" s="334"/>
      <c r="C54" s="525" t="s">
        <v>380</v>
      </c>
      <c r="D54" s="525"/>
      <c r="E54" s="525"/>
      <c r="F54" s="525"/>
      <c r="G54" s="525"/>
      <c r="H54" s="525"/>
      <c r="I54" s="525"/>
      <c r="J54" s="525"/>
      <c r="K54" s="525"/>
      <c r="L54" s="525"/>
      <c r="M54" s="525"/>
      <c r="N54" s="458"/>
      <c r="O54" s="472"/>
      <c r="P54" s="541"/>
      <c r="Q54" s="541"/>
      <c r="R54" s="550"/>
      <c r="S54" s="551"/>
      <c r="T54" s="457"/>
      <c r="U54" s="465"/>
      <c r="V54" s="331"/>
      <c r="W54" s="97"/>
      <c r="X54" s="97"/>
      <c r="Y54" s="97"/>
      <c r="Z54" s="97"/>
      <c r="AA54" s="97"/>
      <c r="AB54" s="97"/>
      <c r="AC54" s="97"/>
      <c r="AD54" s="97"/>
      <c r="AE54" s="97"/>
      <c r="AF54" s="97"/>
      <c r="AG54" s="97"/>
      <c r="AH54" s="97"/>
      <c r="AI54" s="97"/>
      <c r="AJ54" s="97"/>
      <c r="AK54" s="97"/>
      <c r="AL54" s="97"/>
      <c r="AM54" s="97"/>
      <c r="AN54" s="97"/>
      <c r="AO54" s="97"/>
      <c r="AP54" s="97"/>
      <c r="AQ54" s="97"/>
    </row>
    <row r="55" spans="1:43" ht="18.600000000000001" thickBot="1" x14ac:dyDescent="0.4">
      <c r="A55" s="337"/>
      <c r="B55" s="334"/>
      <c r="C55" s="525"/>
      <c r="D55" s="525"/>
      <c r="E55" s="525"/>
      <c r="F55" s="525"/>
      <c r="G55" s="525"/>
      <c r="H55" s="525"/>
      <c r="I55" s="525"/>
      <c r="J55" s="525"/>
      <c r="K55" s="525"/>
      <c r="L55" s="525"/>
      <c r="M55" s="525"/>
      <c r="N55" s="458"/>
      <c r="O55" s="473"/>
      <c r="P55" s="466"/>
      <c r="Q55" s="466"/>
      <c r="R55" s="466"/>
      <c r="S55" s="467"/>
      <c r="T55" s="469"/>
      <c r="U55" s="468"/>
      <c r="V55" s="331"/>
      <c r="W55" s="97"/>
      <c r="X55" s="97"/>
      <c r="Y55" s="97"/>
      <c r="Z55" s="97"/>
      <c r="AA55" s="97"/>
      <c r="AB55" s="97"/>
      <c r="AC55" s="97"/>
      <c r="AD55" s="97"/>
      <c r="AE55" s="97"/>
      <c r="AF55" s="97"/>
      <c r="AG55" s="97"/>
      <c r="AH55" s="97"/>
      <c r="AI55" s="97"/>
      <c r="AJ55" s="97"/>
      <c r="AK55" s="97"/>
      <c r="AL55" s="97"/>
      <c r="AM55" s="97"/>
      <c r="AN55" s="97"/>
      <c r="AO55" s="97"/>
      <c r="AP55" s="97"/>
      <c r="AQ55" s="97"/>
    </row>
    <row r="56" spans="1:43" s="195" customFormat="1" ht="18" customHeight="1" x14ac:dyDescent="0.35">
      <c r="A56" s="337"/>
      <c r="B56" s="334"/>
      <c r="C56" s="525"/>
      <c r="D56" s="525"/>
      <c r="E56" s="525"/>
      <c r="F56" s="525"/>
      <c r="G56" s="525"/>
      <c r="H56" s="525"/>
      <c r="I56" s="525"/>
      <c r="J56" s="525"/>
      <c r="K56" s="525"/>
      <c r="L56" s="525"/>
      <c r="M56" s="525"/>
      <c r="N56" s="458"/>
      <c r="O56" s="458"/>
      <c r="P56" s="542" t="s">
        <v>354</v>
      </c>
      <c r="Q56" s="542"/>
      <c r="R56" s="542"/>
      <c r="S56" s="542"/>
      <c r="T56" s="542"/>
      <c r="U56" s="542"/>
      <c r="V56" s="331"/>
      <c r="W56" s="97"/>
      <c r="X56" s="97"/>
      <c r="Y56" s="97"/>
      <c r="Z56" s="97"/>
      <c r="AA56" s="97"/>
      <c r="AB56" s="97"/>
      <c r="AC56" s="97"/>
      <c r="AD56" s="97"/>
      <c r="AE56" s="97"/>
      <c r="AF56" s="97"/>
      <c r="AG56" s="97"/>
      <c r="AH56" s="97"/>
      <c r="AI56" s="97"/>
      <c r="AJ56" s="97"/>
      <c r="AK56" s="97"/>
      <c r="AL56" s="97"/>
      <c r="AM56" s="97"/>
      <c r="AN56" s="97"/>
      <c r="AO56" s="97"/>
      <c r="AP56" s="97"/>
      <c r="AQ56" s="97"/>
    </row>
    <row r="57" spans="1:43" s="195" customFormat="1" ht="18" x14ac:dyDescent="0.35">
      <c r="A57" s="337"/>
      <c r="B57" s="334"/>
      <c r="C57" s="334"/>
      <c r="D57" s="295"/>
      <c r="E57" s="295"/>
      <c r="F57" s="458"/>
      <c r="G57" s="458"/>
      <c r="H57" s="458"/>
      <c r="I57" s="458"/>
      <c r="J57" s="458"/>
      <c r="K57" s="458"/>
      <c r="L57" s="458"/>
      <c r="M57" s="458"/>
      <c r="N57" s="458"/>
      <c r="O57" s="458"/>
      <c r="P57" s="542"/>
      <c r="Q57" s="542"/>
      <c r="R57" s="542"/>
      <c r="S57" s="542"/>
      <c r="T57" s="542"/>
      <c r="U57" s="542"/>
      <c r="V57" s="331"/>
      <c r="W57" s="97"/>
      <c r="X57" s="97"/>
      <c r="Y57" s="97"/>
      <c r="Z57" s="97"/>
      <c r="AA57" s="97"/>
      <c r="AB57" s="97"/>
      <c r="AC57" s="97"/>
      <c r="AD57" s="97"/>
      <c r="AE57" s="97"/>
      <c r="AF57" s="97"/>
      <c r="AG57" s="97"/>
      <c r="AH57" s="97"/>
      <c r="AI57" s="97"/>
      <c r="AJ57" s="97"/>
      <c r="AK57" s="97"/>
      <c r="AL57" s="97"/>
      <c r="AM57" s="97"/>
      <c r="AN57" s="97"/>
      <c r="AO57" s="97"/>
      <c r="AP57" s="97"/>
      <c r="AQ57" s="97"/>
    </row>
    <row r="58" spans="1:43" s="195" customFormat="1" ht="18" x14ac:dyDescent="0.35">
      <c r="A58" s="337"/>
      <c r="B58" s="334"/>
      <c r="C58" s="334"/>
      <c r="D58" s="295"/>
      <c r="E58" s="295"/>
      <c r="F58" s="552"/>
      <c r="G58" s="552"/>
      <c r="H58" s="552"/>
      <c r="I58" s="552"/>
      <c r="J58" s="552"/>
      <c r="K58" s="552"/>
      <c r="L58" s="552"/>
      <c r="M58" s="552"/>
      <c r="N58" s="552"/>
      <c r="O58" s="552"/>
      <c r="P58" s="542"/>
      <c r="Q58" s="542"/>
      <c r="R58" s="542"/>
      <c r="S58" s="542"/>
      <c r="T58" s="542"/>
      <c r="U58" s="542"/>
      <c r="V58" s="331"/>
      <c r="W58" s="97"/>
      <c r="X58" s="97"/>
      <c r="Y58" s="97"/>
      <c r="Z58" s="97"/>
      <c r="AA58" s="97"/>
      <c r="AB58" s="97"/>
      <c r="AC58" s="97"/>
      <c r="AD58" s="97"/>
      <c r="AE58" s="97"/>
      <c r="AF58" s="97"/>
      <c r="AG58" s="97"/>
      <c r="AH58" s="97"/>
      <c r="AI58" s="97"/>
      <c r="AJ58" s="97"/>
      <c r="AK58" s="97"/>
      <c r="AL58" s="97"/>
      <c r="AM58" s="97"/>
      <c r="AN58" s="97"/>
      <c r="AO58" s="97"/>
      <c r="AP58" s="97"/>
      <c r="AQ58" s="97"/>
    </row>
    <row r="59" spans="1:43" ht="33.6" customHeight="1" x14ac:dyDescent="0.35">
      <c r="A59" s="290"/>
      <c r="B59" s="292"/>
      <c r="C59" s="526" t="s">
        <v>214</v>
      </c>
      <c r="D59" s="526"/>
      <c r="E59" s="526"/>
      <c r="F59" s="526"/>
      <c r="G59" s="526"/>
      <c r="H59" s="526"/>
      <c r="I59" s="526"/>
      <c r="J59" s="526"/>
      <c r="K59" s="526"/>
      <c r="L59" s="526"/>
      <c r="M59" s="526"/>
      <c r="N59" s="526"/>
      <c r="O59" s="526"/>
      <c r="P59" s="526"/>
      <c r="Q59" s="526"/>
      <c r="R59" s="526"/>
      <c r="S59" s="526"/>
      <c r="T59" s="526"/>
      <c r="U59" s="526"/>
      <c r="V59" s="331"/>
      <c r="W59" s="97"/>
      <c r="X59" s="97"/>
      <c r="Y59" s="97"/>
      <c r="Z59" s="97"/>
      <c r="AA59" s="97"/>
      <c r="AB59" s="97"/>
      <c r="AC59" s="97"/>
      <c r="AD59" s="97"/>
      <c r="AE59" s="97"/>
      <c r="AF59" s="97"/>
      <c r="AG59" s="97"/>
      <c r="AH59" s="97"/>
      <c r="AI59" s="97"/>
      <c r="AJ59" s="97"/>
      <c r="AK59" s="97"/>
      <c r="AL59" s="97"/>
      <c r="AM59" s="97"/>
      <c r="AN59" s="97"/>
      <c r="AO59" s="97"/>
      <c r="AP59" s="97"/>
      <c r="AQ59" s="97"/>
    </row>
    <row r="60" spans="1:43" s="195" customFormat="1" ht="10.199999999999999" customHeight="1" thickBot="1" x14ac:dyDescent="0.4">
      <c r="A60" s="290"/>
      <c r="B60" s="292"/>
      <c r="C60" s="460"/>
      <c r="D60" s="460"/>
      <c r="E60" s="460"/>
      <c r="F60" s="460"/>
      <c r="G60" s="460"/>
      <c r="H60" s="460"/>
      <c r="I60" s="460"/>
      <c r="J60" s="460"/>
      <c r="K60" s="460"/>
      <c r="L60" s="460"/>
      <c r="M60" s="460"/>
      <c r="N60" s="460"/>
      <c r="O60" s="460"/>
      <c r="P60" s="460"/>
      <c r="Q60" s="460"/>
      <c r="R60" s="460"/>
      <c r="S60" s="460"/>
      <c r="T60" s="460"/>
      <c r="U60" s="460"/>
      <c r="V60" s="331"/>
      <c r="W60" s="97"/>
      <c r="X60" s="97"/>
      <c r="Y60" s="97"/>
      <c r="Z60" s="97"/>
      <c r="AA60" s="97"/>
      <c r="AB60" s="97"/>
      <c r="AC60" s="97"/>
      <c r="AD60" s="97"/>
      <c r="AE60" s="97"/>
      <c r="AF60" s="97"/>
      <c r="AG60" s="97"/>
      <c r="AH60" s="97"/>
      <c r="AI60" s="97"/>
      <c r="AJ60" s="97"/>
      <c r="AK60" s="97"/>
      <c r="AL60" s="97"/>
      <c r="AM60" s="97"/>
      <c r="AN60" s="97"/>
      <c r="AO60" s="97"/>
      <c r="AP60" s="97"/>
      <c r="AQ60" s="97"/>
    </row>
    <row r="61" spans="1:43" ht="22.2" thickTop="1" thickBot="1" x14ac:dyDescent="0.45">
      <c r="A61" s="227"/>
      <c r="B61" s="328" t="s">
        <v>79</v>
      </c>
      <c r="C61" s="228"/>
      <c r="D61" s="228"/>
      <c r="E61" s="228"/>
      <c r="F61" s="229"/>
      <c r="G61" s="228"/>
      <c r="H61" s="230"/>
      <c r="I61" s="228"/>
      <c r="J61" s="228"/>
      <c r="K61" s="228"/>
      <c r="L61" s="228"/>
      <c r="M61" s="228"/>
      <c r="N61" s="228"/>
      <c r="O61" s="228"/>
      <c r="P61" s="228"/>
      <c r="Q61" s="228"/>
      <c r="R61" s="228"/>
      <c r="S61" s="230"/>
      <c r="T61" s="231"/>
      <c r="U61" s="230"/>
      <c r="V61" s="232"/>
      <c r="W61" s="97"/>
      <c r="X61" s="97"/>
      <c r="Y61" s="97"/>
      <c r="Z61" s="97"/>
      <c r="AA61" s="97"/>
      <c r="AB61" s="97"/>
      <c r="AC61" s="97"/>
      <c r="AD61" s="97"/>
      <c r="AE61" s="97"/>
      <c r="AF61" s="97"/>
      <c r="AG61" s="97"/>
      <c r="AH61" s="97"/>
      <c r="AI61" s="97"/>
      <c r="AJ61" s="97"/>
      <c r="AK61" s="97"/>
      <c r="AL61" s="97"/>
      <c r="AM61" s="97"/>
      <c r="AN61" s="97"/>
      <c r="AO61" s="97"/>
      <c r="AP61" s="97"/>
      <c r="AQ61" s="97"/>
    </row>
    <row r="62" spans="1:43" ht="19.2" thickTop="1" thickBot="1" x14ac:dyDescent="0.4">
      <c r="A62" s="161"/>
      <c r="B62" s="157"/>
      <c r="C62" s="157"/>
      <c r="D62" s="157"/>
      <c r="E62" s="157"/>
      <c r="F62" s="157"/>
      <c r="G62" s="157"/>
      <c r="H62" s="157"/>
      <c r="I62" s="157"/>
      <c r="J62" s="157"/>
      <c r="K62" s="157"/>
      <c r="L62" s="157"/>
      <c r="M62" s="157"/>
      <c r="N62" s="157"/>
      <c r="O62" s="157"/>
      <c r="P62" s="157"/>
      <c r="Q62" s="157"/>
      <c r="R62" s="157"/>
      <c r="S62" s="157"/>
      <c r="T62" s="157"/>
      <c r="U62" s="157"/>
      <c r="V62" s="162"/>
      <c r="W62" s="97"/>
      <c r="X62" s="97"/>
      <c r="Y62" s="97"/>
      <c r="Z62" s="97"/>
      <c r="AA62" s="97"/>
      <c r="AB62" s="97"/>
      <c r="AC62" s="97"/>
      <c r="AD62" s="97"/>
      <c r="AE62" s="97"/>
      <c r="AF62" s="97"/>
      <c r="AG62" s="97"/>
      <c r="AH62" s="97"/>
      <c r="AI62" s="97"/>
      <c r="AJ62" s="97"/>
      <c r="AK62" s="97"/>
      <c r="AL62" s="97"/>
      <c r="AM62" s="97"/>
      <c r="AN62" s="97"/>
      <c r="AO62" s="97"/>
      <c r="AP62" s="97"/>
      <c r="AQ62" s="97"/>
    </row>
    <row r="63" spans="1:43" ht="31.2" x14ac:dyDescent="0.35">
      <c r="A63" s="161"/>
      <c r="B63" s="157"/>
      <c r="C63" s="157"/>
      <c r="D63" s="157"/>
      <c r="E63" s="157"/>
      <c r="F63" s="157"/>
      <c r="G63" s="157"/>
      <c r="H63" s="157"/>
      <c r="I63" s="157"/>
      <c r="J63" s="157"/>
      <c r="K63" s="157"/>
      <c r="L63" s="157"/>
      <c r="M63" s="157"/>
      <c r="N63" s="157"/>
      <c r="O63" s="502"/>
      <c r="P63" s="527"/>
      <c r="Q63" s="527"/>
      <c r="R63" s="527"/>
      <c r="S63" s="527"/>
      <c r="T63" s="527"/>
      <c r="U63" s="528"/>
      <c r="V63" s="162"/>
      <c r="W63" s="97"/>
      <c r="X63" s="97"/>
      <c r="Y63" s="97"/>
      <c r="Z63" s="97"/>
      <c r="AA63" s="97"/>
      <c r="AB63" s="97"/>
      <c r="AC63" s="97"/>
      <c r="AD63" s="97"/>
      <c r="AE63" s="97"/>
      <c r="AF63" s="97"/>
      <c r="AG63" s="97"/>
      <c r="AH63" s="97"/>
      <c r="AI63" s="97"/>
      <c r="AJ63" s="97"/>
      <c r="AK63" s="97"/>
      <c r="AL63" s="97"/>
      <c r="AM63" s="97"/>
      <c r="AN63" s="97"/>
      <c r="AO63" s="97"/>
      <c r="AP63" s="97"/>
      <c r="AQ63" s="97"/>
    </row>
    <row r="64" spans="1:43" ht="31.2" x14ac:dyDescent="0.35">
      <c r="A64" s="161"/>
      <c r="B64" s="157"/>
      <c r="C64" s="157"/>
      <c r="D64" s="157"/>
      <c r="E64" s="158"/>
      <c r="F64" s="159"/>
      <c r="G64" s="160"/>
      <c r="H64" s="160"/>
      <c r="I64" s="159"/>
      <c r="J64" s="159"/>
      <c r="K64" s="159"/>
      <c r="L64" s="159"/>
      <c r="M64" s="157"/>
      <c r="N64" s="369"/>
      <c r="O64" s="503"/>
      <c r="P64" s="544" t="s">
        <v>142</v>
      </c>
      <c r="Q64" s="544"/>
      <c r="R64" s="544"/>
      <c r="S64" s="544"/>
      <c r="T64" s="544"/>
      <c r="U64" s="545"/>
      <c r="V64" s="162"/>
      <c r="W64" s="97"/>
      <c r="X64" s="97"/>
      <c r="Y64" s="97"/>
      <c r="Z64" s="97"/>
      <c r="AA64" s="97"/>
      <c r="AB64" s="97"/>
      <c r="AC64" s="97"/>
      <c r="AD64" s="97"/>
      <c r="AE64" s="97"/>
      <c r="AF64" s="97"/>
      <c r="AG64" s="97"/>
      <c r="AH64" s="97"/>
      <c r="AI64" s="97"/>
      <c r="AJ64" s="97"/>
      <c r="AK64" s="97"/>
      <c r="AL64" s="97"/>
      <c r="AM64" s="97"/>
      <c r="AN64" s="97"/>
      <c r="AO64" s="97"/>
      <c r="AP64" s="97"/>
      <c r="AQ64" s="97"/>
    </row>
    <row r="65" spans="1:42" ht="18" x14ac:dyDescent="0.35">
      <c r="A65" s="161"/>
      <c r="B65" s="157"/>
      <c r="C65" s="157"/>
      <c r="D65" s="157"/>
      <c r="E65" s="158"/>
      <c r="F65" s="159"/>
      <c r="G65" s="159"/>
      <c r="H65" s="160"/>
      <c r="I65" s="159"/>
      <c r="J65" s="159"/>
      <c r="K65" s="159"/>
      <c r="L65" s="157"/>
      <c r="M65" s="369"/>
      <c r="N65" s="369"/>
      <c r="O65" s="503"/>
      <c r="P65" s="157"/>
      <c r="Q65" s="157"/>
      <c r="R65" s="157"/>
      <c r="S65" s="157"/>
      <c r="T65" s="157"/>
      <c r="U65" s="504"/>
      <c r="V65" s="162"/>
      <c r="W65" s="97"/>
      <c r="X65" s="205"/>
      <c r="Y65" s="205"/>
      <c r="Z65" s="97"/>
      <c r="AA65" s="97"/>
      <c r="AB65" s="97"/>
      <c r="AC65" s="97"/>
      <c r="AD65" s="97"/>
      <c r="AE65" s="97"/>
      <c r="AF65" s="97"/>
      <c r="AG65" s="97"/>
      <c r="AH65" s="97"/>
      <c r="AI65" s="97"/>
      <c r="AJ65" s="97"/>
      <c r="AK65" s="97"/>
      <c r="AL65" s="97"/>
      <c r="AM65" s="97"/>
      <c r="AN65" s="97"/>
      <c r="AO65" s="97"/>
      <c r="AP65" s="97"/>
    </row>
    <row r="66" spans="1:42" ht="18" x14ac:dyDescent="0.35">
      <c r="A66" s="161"/>
      <c r="B66" s="157"/>
      <c r="C66" s="157"/>
      <c r="D66" s="157"/>
      <c r="E66" s="159"/>
      <c r="F66" s="159"/>
      <c r="G66" s="159"/>
      <c r="H66" s="159"/>
      <c r="I66" s="159"/>
      <c r="J66" s="159"/>
      <c r="K66" s="159"/>
      <c r="L66" s="369"/>
      <c r="M66" s="369"/>
      <c r="N66" s="369"/>
      <c r="O66" s="503"/>
      <c r="P66" s="157"/>
      <c r="Q66" s="157"/>
      <c r="R66" s="157"/>
      <c r="S66" s="157"/>
      <c r="T66" s="157"/>
      <c r="U66" s="504"/>
      <c r="V66" s="162"/>
      <c r="W66" s="97"/>
      <c r="X66" s="97"/>
      <c r="Y66" s="97"/>
      <c r="Z66" s="97"/>
      <c r="AA66" s="97"/>
      <c r="AB66" s="97"/>
      <c r="AC66" s="97"/>
      <c r="AD66" s="97"/>
      <c r="AE66" s="97"/>
      <c r="AF66" s="97"/>
      <c r="AG66" s="97"/>
      <c r="AH66" s="97"/>
      <c r="AI66" s="97"/>
      <c r="AJ66" s="97"/>
      <c r="AK66" s="97"/>
      <c r="AL66" s="97"/>
      <c r="AM66" s="97"/>
      <c r="AN66" s="97"/>
      <c r="AO66" s="97"/>
      <c r="AP66" s="97"/>
    </row>
    <row r="67" spans="1:42" ht="28.8" x14ac:dyDescent="0.55000000000000004">
      <c r="A67" s="161"/>
      <c r="B67" s="157"/>
      <c r="C67" s="157"/>
      <c r="D67" s="157"/>
      <c r="E67" s="157"/>
      <c r="F67" s="157"/>
      <c r="G67" s="157"/>
      <c r="H67" s="157"/>
      <c r="I67" s="157"/>
      <c r="J67" s="157"/>
      <c r="K67" s="157"/>
      <c r="L67" s="157"/>
      <c r="M67" s="369"/>
      <c r="N67" s="441"/>
      <c r="O67" s="505"/>
      <c r="P67" s="497"/>
      <c r="Q67" s="537" t="s">
        <v>353</v>
      </c>
      <c r="R67" s="537"/>
      <c r="S67" s="537"/>
      <c r="T67" s="537"/>
      <c r="U67" s="540"/>
      <c r="V67" s="162"/>
      <c r="W67" s="97"/>
      <c r="X67" s="97"/>
      <c r="Y67" s="97"/>
      <c r="Z67" s="97"/>
      <c r="AA67" s="97"/>
      <c r="AB67" s="97"/>
      <c r="AC67" s="97"/>
      <c r="AD67" s="97"/>
      <c r="AE67" s="97"/>
      <c r="AF67" s="97"/>
      <c r="AG67" s="97"/>
      <c r="AH67" s="97"/>
      <c r="AI67" s="97"/>
      <c r="AJ67" s="97"/>
      <c r="AK67" s="97"/>
      <c r="AL67" s="97"/>
      <c r="AM67" s="97"/>
      <c r="AN67" s="97"/>
      <c r="AO67" s="97"/>
      <c r="AP67" s="97"/>
    </row>
    <row r="68" spans="1:42" ht="28.8" x14ac:dyDescent="0.55000000000000004">
      <c r="A68" s="161"/>
      <c r="B68" s="157"/>
      <c r="C68" s="157"/>
      <c r="D68" s="157"/>
      <c r="E68" s="157"/>
      <c r="F68" s="157"/>
      <c r="G68" s="157"/>
      <c r="H68" s="157"/>
      <c r="I68" s="157"/>
      <c r="J68" s="157"/>
      <c r="K68" s="157"/>
      <c r="L68" s="157"/>
      <c r="M68" s="369"/>
      <c r="N68" s="441"/>
      <c r="O68" s="505"/>
      <c r="P68" s="497"/>
      <c r="Q68" s="497"/>
      <c r="R68" s="442">
        <v>2025</v>
      </c>
      <c r="S68" s="498">
        <v>2027</v>
      </c>
      <c r="T68" s="498">
        <v>2029</v>
      </c>
      <c r="U68" s="504"/>
      <c r="V68" s="162"/>
      <c r="W68" s="97"/>
      <c r="X68" s="97"/>
      <c r="Y68" s="97"/>
      <c r="Z68" s="97"/>
      <c r="AA68" s="97"/>
      <c r="AB68" s="97"/>
      <c r="AC68" s="97"/>
      <c r="AD68" s="97"/>
      <c r="AE68" s="97"/>
      <c r="AF68" s="97"/>
      <c r="AG68" s="97"/>
      <c r="AH68" s="97"/>
      <c r="AI68" s="97"/>
      <c r="AJ68" s="97"/>
      <c r="AK68" s="97"/>
      <c r="AL68" s="97"/>
      <c r="AM68" s="97"/>
      <c r="AN68" s="97"/>
      <c r="AO68" s="97"/>
      <c r="AP68" s="97"/>
    </row>
    <row r="69" spans="1:42" ht="28.8" x14ac:dyDescent="0.55000000000000004">
      <c r="A69" s="161"/>
      <c r="B69" s="157"/>
      <c r="C69" s="157"/>
      <c r="D69" s="157"/>
      <c r="E69" s="157"/>
      <c r="F69" s="157"/>
      <c r="G69" s="157"/>
      <c r="H69" s="157"/>
      <c r="I69" s="157"/>
      <c r="J69" s="157"/>
      <c r="K69" s="157"/>
      <c r="L69" s="157"/>
      <c r="M69" s="369"/>
      <c r="N69" s="441"/>
      <c r="O69" s="546" t="s">
        <v>104</v>
      </c>
      <c r="P69" s="547"/>
      <c r="Q69" s="547"/>
      <c r="R69" s="443">
        <f>IF(SUM(Daily!T2:T366)=0,"None",(SUM(Daily!T2:T366)))</f>
        <v>41499</v>
      </c>
      <c r="S69" s="443">
        <f>IF(SUM(Daily!U2:U366)=0,"None",(SUM(Daily!U2:U366)))</f>
        <v>41515</v>
      </c>
      <c r="T69" s="443">
        <f>IF(SUM(Daily!V2:V366)=0,"None",(SUM(Daily!V2:V366)))</f>
        <v>41598</v>
      </c>
      <c r="U69" s="504"/>
      <c r="V69" s="162"/>
      <c r="W69" s="97"/>
      <c r="X69" s="97"/>
      <c r="Y69" s="97"/>
      <c r="Z69" s="97"/>
      <c r="AA69" s="97"/>
      <c r="AB69" s="97"/>
      <c r="AC69" s="97"/>
      <c r="AD69" s="97"/>
      <c r="AE69" s="97"/>
      <c r="AF69" s="97"/>
      <c r="AG69" s="97"/>
      <c r="AH69" s="97"/>
      <c r="AI69" s="97"/>
      <c r="AJ69" s="97"/>
      <c r="AK69" s="97"/>
      <c r="AL69" s="97"/>
      <c r="AM69" s="97"/>
      <c r="AN69" s="97"/>
      <c r="AO69" s="97"/>
      <c r="AP69" s="97"/>
    </row>
    <row r="70" spans="1:42" ht="28.8" x14ac:dyDescent="0.55000000000000004">
      <c r="A70" s="161"/>
      <c r="B70" s="157"/>
      <c r="C70" s="157"/>
      <c r="D70" s="157"/>
      <c r="E70" s="157"/>
      <c r="F70" s="157"/>
      <c r="G70" s="157"/>
      <c r="H70" s="157"/>
      <c r="I70" s="157"/>
      <c r="J70" s="157"/>
      <c r="K70" s="157"/>
      <c r="L70" s="157"/>
      <c r="M70" s="369"/>
      <c r="N70" s="441"/>
      <c r="O70" s="505"/>
      <c r="P70" s="543" t="s">
        <v>105</v>
      </c>
      <c r="Q70" s="543"/>
      <c r="R70" s="444">
        <f>IF(ISNUMBER(R69),365-SUM(Inputs!$B$39:$E$39)-Daily!T369,365-SUM(Inputs!$B$39:$M$39))</f>
        <v>104</v>
      </c>
      <c r="S70" s="444">
        <f>IF(ISNUMBER(S69),365-SUM(Inputs!$B$39:$E$39)-Daily!U369,365-SUM(Inputs!$B$39:$M$39))</f>
        <v>120</v>
      </c>
      <c r="T70" s="444">
        <f>IF(ISNUMBER(T69),365-SUM(Inputs!$B$39:$E$39)-Daily!V369,365-SUM(Inputs!$B$39:$M$39))</f>
        <v>203</v>
      </c>
      <c r="U70" s="504"/>
      <c r="V70" s="162"/>
      <c r="W70" s="97"/>
      <c r="X70" s="97"/>
      <c r="Y70" s="97"/>
      <c r="Z70" s="97"/>
      <c r="AA70" s="97"/>
      <c r="AB70" s="97"/>
      <c r="AC70" s="97"/>
      <c r="AD70" s="97"/>
      <c r="AE70" s="97"/>
      <c r="AF70" s="97"/>
      <c r="AG70" s="97"/>
      <c r="AH70" s="97"/>
      <c r="AI70" s="97"/>
      <c r="AJ70" s="97"/>
      <c r="AK70" s="97"/>
      <c r="AL70" s="97"/>
      <c r="AM70" s="97"/>
      <c r="AN70" s="97"/>
      <c r="AO70" s="97"/>
      <c r="AP70" s="97"/>
    </row>
    <row r="71" spans="1:42" ht="22.8" customHeight="1" x14ac:dyDescent="0.35">
      <c r="A71" s="161"/>
      <c r="B71" s="157"/>
      <c r="C71" s="157"/>
      <c r="D71" s="157"/>
      <c r="E71" s="157"/>
      <c r="F71" s="157"/>
      <c r="G71" s="157"/>
      <c r="H71" s="157"/>
      <c r="I71" s="157"/>
      <c r="J71" s="157"/>
      <c r="K71" s="157"/>
      <c r="L71" s="157"/>
      <c r="M71" s="369"/>
      <c r="N71" s="369"/>
      <c r="O71" s="503"/>
      <c r="P71" s="157"/>
      <c r="Q71" s="157"/>
      <c r="R71" s="157"/>
      <c r="S71" s="157"/>
      <c r="T71" s="157"/>
      <c r="U71" s="504"/>
      <c r="V71" s="162"/>
      <c r="W71" s="97"/>
      <c r="X71" s="97"/>
      <c r="Y71" s="97"/>
      <c r="Z71" s="97"/>
      <c r="AA71" s="97"/>
      <c r="AB71" s="97"/>
      <c r="AC71" s="97"/>
      <c r="AD71" s="97"/>
      <c r="AE71" s="97"/>
      <c r="AF71" s="97"/>
      <c r="AG71" s="97"/>
      <c r="AH71" s="97"/>
      <c r="AI71" s="97"/>
      <c r="AJ71" s="97"/>
      <c r="AK71" s="97"/>
      <c r="AL71" s="97"/>
      <c r="AM71" s="97"/>
      <c r="AN71" s="97"/>
      <c r="AO71" s="97"/>
      <c r="AP71" s="97"/>
    </row>
    <row r="72" spans="1:42" ht="28.8" customHeight="1" x14ac:dyDescent="0.3">
      <c r="A72" s="161"/>
      <c r="B72" s="157"/>
      <c r="C72" s="157"/>
      <c r="D72" s="157"/>
      <c r="E72" s="157"/>
      <c r="F72" s="157"/>
      <c r="G72" s="157"/>
      <c r="H72" s="157"/>
      <c r="I72" s="157"/>
      <c r="J72" s="157"/>
      <c r="K72" s="157"/>
      <c r="L72" s="157"/>
      <c r="M72" s="369"/>
      <c r="N72" s="369"/>
      <c r="O72" s="503"/>
      <c r="P72" s="538" t="s">
        <v>216</v>
      </c>
      <c r="Q72" s="538"/>
      <c r="R72" s="538"/>
      <c r="S72" s="538"/>
      <c r="T72" s="539">
        <f>365-SUM(Inputs!$B$39:$M$39)</f>
        <v>245</v>
      </c>
      <c r="U72" s="504"/>
      <c r="V72" s="162"/>
    </row>
    <row r="73" spans="1:42" ht="18" customHeight="1" x14ac:dyDescent="0.3">
      <c r="A73" s="161"/>
      <c r="B73" s="157"/>
      <c r="C73" s="157"/>
      <c r="D73" s="157"/>
      <c r="E73" s="157"/>
      <c r="F73" s="157"/>
      <c r="G73" s="157"/>
      <c r="H73" s="157"/>
      <c r="I73" s="157"/>
      <c r="J73" s="157"/>
      <c r="K73" s="157"/>
      <c r="L73" s="157"/>
      <c r="M73" s="157"/>
      <c r="N73" s="157"/>
      <c r="O73" s="503"/>
      <c r="P73" s="538"/>
      <c r="Q73" s="538"/>
      <c r="R73" s="538"/>
      <c r="S73" s="538"/>
      <c r="T73" s="539"/>
      <c r="U73" s="504"/>
      <c r="V73" s="162"/>
      <c r="X73" s="514"/>
    </row>
    <row r="74" spans="1:42" s="195" customFormat="1" ht="18" customHeight="1" x14ac:dyDescent="0.3">
      <c r="A74" s="161"/>
      <c r="B74" s="157"/>
      <c r="C74" s="157"/>
      <c r="D74" s="157"/>
      <c r="E74" s="157"/>
      <c r="F74" s="157"/>
      <c r="G74" s="157"/>
      <c r="H74" s="157"/>
      <c r="I74" s="157"/>
      <c r="J74" s="157"/>
      <c r="K74" s="157"/>
      <c r="L74" s="157"/>
      <c r="M74" s="157"/>
      <c r="N74" s="157"/>
      <c r="O74" s="503"/>
      <c r="P74" s="538"/>
      <c r="Q74" s="538"/>
      <c r="R74" s="538"/>
      <c r="S74" s="538"/>
      <c r="T74" s="539"/>
      <c r="U74" s="504"/>
      <c r="V74" s="162"/>
      <c r="X74" s="514"/>
    </row>
    <row r="75" spans="1:42" s="195" customFormat="1" x14ac:dyDescent="0.3">
      <c r="A75" s="161"/>
      <c r="B75" s="157"/>
      <c r="C75" s="157"/>
      <c r="D75" s="157"/>
      <c r="E75" s="157"/>
      <c r="F75" s="157"/>
      <c r="G75" s="157"/>
      <c r="H75" s="157"/>
      <c r="I75" s="157"/>
      <c r="J75" s="157"/>
      <c r="K75" s="157"/>
      <c r="L75" s="157"/>
      <c r="M75" s="157"/>
      <c r="N75" s="157"/>
      <c r="O75" s="503"/>
      <c r="P75" s="157"/>
      <c r="Q75" s="157"/>
      <c r="R75" s="157"/>
      <c r="S75" s="157"/>
      <c r="T75" s="157"/>
      <c r="U75" s="506"/>
      <c r="V75" s="162"/>
      <c r="X75" s="514"/>
    </row>
    <row r="76" spans="1:42" s="195" customFormat="1" ht="28.8" x14ac:dyDescent="0.55000000000000004">
      <c r="A76" s="161"/>
      <c r="B76" s="157"/>
      <c r="C76" s="157"/>
      <c r="D76" s="157"/>
      <c r="E76" s="157"/>
      <c r="F76" s="157"/>
      <c r="G76" s="157"/>
      <c r="H76" s="157"/>
      <c r="I76" s="157"/>
      <c r="J76" s="157"/>
      <c r="K76" s="157"/>
      <c r="L76" s="157"/>
      <c r="M76" s="157"/>
      <c r="N76" s="157"/>
      <c r="O76" s="503"/>
      <c r="P76" s="157"/>
      <c r="Q76" s="157"/>
      <c r="R76" s="537" t="s">
        <v>188</v>
      </c>
      <c r="S76" s="537"/>
      <c r="T76" s="537"/>
      <c r="U76" s="504"/>
      <c r="V76" s="162"/>
      <c r="X76" s="514"/>
    </row>
    <row r="77" spans="1:42" s="195" customFormat="1" ht="25.8" x14ac:dyDescent="0.5">
      <c r="A77" s="161"/>
      <c r="B77" s="157"/>
      <c r="C77" s="157"/>
      <c r="D77" s="157"/>
      <c r="E77" s="157"/>
      <c r="F77" s="157"/>
      <c r="G77" s="157"/>
      <c r="H77" s="157"/>
      <c r="I77" s="157"/>
      <c r="J77" s="157"/>
      <c r="K77" s="157"/>
      <c r="L77" s="157"/>
      <c r="M77" s="157"/>
      <c r="N77" s="157"/>
      <c r="O77" s="503"/>
      <c r="P77" s="157"/>
      <c r="Q77" s="157"/>
      <c r="R77" s="499"/>
      <c r="S77" s="439" t="s">
        <v>104</v>
      </c>
      <c r="T77" s="500">
        <f>IF(SUM(Daily!AC2:AC366)=0,"None",(SUM(Daily!AC2:AC366)))</f>
        <v>41505</v>
      </c>
      <c r="U77" s="504"/>
      <c r="V77" s="162"/>
      <c r="X77" s="514"/>
    </row>
    <row r="78" spans="1:42" s="195" customFormat="1" ht="28.8" customHeight="1" x14ac:dyDescent="0.5">
      <c r="A78" s="161"/>
      <c r="B78" s="157"/>
      <c r="C78" s="157"/>
      <c r="D78" s="157"/>
      <c r="E78" s="157"/>
      <c r="F78" s="157"/>
      <c r="G78" s="157"/>
      <c r="H78" s="157"/>
      <c r="I78" s="157"/>
      <c r="J78" s="157"/>
      <c r="K78" s="157"/>
      <c r="L78" s="157"/>
      <c r="M78" s="369"/>
      <c r="N78" s="369"/>
      <c r="O78" s="503"/>
      <c r="P78" s="157"/>
      <c r="Q78" s="157"/>
      <c r="R78" s="499"/>
      <c r="S78" s="439" t="s">
        <v>105</v>
      </c>
      <c r="T78" s="440">
        <f>IF(ISNUMBER(T77),365-SUM(Inputs!$B$39:$E$39)-Daily!AC369,365-SUM(Inputs!$B$39:$M$39))</f>
        <v>110</v>
      </c>
      <c r="U78" s="504"/>
      <c r="V78" s="162"/>
      <c r="X78" s="514"/>
    </row>
    <row r="79" spans="1:42" s="195" customFormat="1" ht="18" x14ac:dyDescent="0.35">
      <c r="A79" s="161"/>
      <c r="B79" s="157"/>
      <c r="C79" s="157"/>
      <c r="D79" s="157"/>
      <c r="E79" s="157"/>
      <c r="F79" s="157"/>
      <c r="G79" s="157"/>
      <c r="H79" s="157"/>
      <c r="I79" s="157"/>
      <c r="J79" s="157"/>
      <c r="K79" s="157"/>
      <c r="L79" s="157"/>
      <c r="M79" s="369"/>
      <c r="N79" s="369"/>
      <c r="O79" s="503"/>
      <c r="P79" s="157"/>
      <c r="Q79" s="157"/>
      <c r="R79" s="501"/>
      <c r="S79" s="501"/>
      <c r="T79" s="379"/>
      <c r="U79" s="504"/>
      <c r="V79" s="162"/>
      <c r="X79" s="514"/>
    </row>
    <row r="80" spans="1:42" s="195" customFormat="1" ht="15" thickBot="1" x14ac:dyDescent="0.35">
      <c r="A80" s="161"/>
      <c r="B80" s="157"/>
      <c r="C80" s="157"/>
      <c r="D80" s="157"/>
      <c r="E80" s="157"/>
      <c r="F80" s="157"/>
      <c r="G80" s="157"/>
      <c r="H80" s="157"/>
      <c r="I80" s="157"/>
      <c r="J80" s="157"/>
      <c r="K80" s="157"/>
      <c r="L80" s="157"/>
      <c r="M80" s="369"/>
      <c r="N80" s="369"/>
      <c r="O80" s="507"/>
      <c r="P80" s="508"/>
      <c r="Q80" s="508"/>
      <c r="R80" s="508"/>
      <c r="S80" s="508"/>
      <c r="T80" s="508"/>
      <c r="U80" s="509"/>
      <c r="V80" s="162"/>
      <c r="X80" s="514"/>
    </row>
    <row r="81" spans="1:24" s="195" customFormat="1" ht="15" customHeight="1" x14ac:dyDescent="0.55000000000000004">
      <c r="A81" s="161"/>
      <c r="B81" s="371"/>
      <c r="C81" s="157"/>
      <c r="D81" s="157"/>
      <c r="E81" s="157"/>
      <c r="F81" s="157"/>
      <c r="G81" s="157"/>
      <c r="H81" s="157"/>
      <c r="I81" s="157"/>
      <c r="J81" s="157"/>
      <c r="K81" s="157"/>
      <c r="L81" s="157"/>
      <c r="M81" s="369"/>
      <c r="N81" s="369"/>
      <c r="O81" s="369"/>
      <c r="P81" s="369"/>
      <c r="Q81" s="369"/>
      <c r="R81" s="438"/>
      <c r="S81" s="439"/>
      <c r="T81" s="455"/>
      <c r="U81" s="369"/>
      <c r="V81" s="162"/>
      <c r="X81" s="514"/>
    </row>
    <row r="82" spans="1:24" s="195" customFormat="1" ht="15" thickBot="1" x14ac:dyDescent="0.35">
      <c r="A82" s="163"/>
      <c r="B82" s="164"/>
      <c r="C82" s="164"/>
      <c r="D82" s="164"/>
      <c r="E82" s="164"/>
      <c r="F82" s="164"/>
      <c r="G82" s="164"/>
      <c r="H82" s="164"/>
      <c r="I82" s="164"/>
      <c r="J82" s="164"/>
      <c r="K82" s="164"/>
      <c r="L82" s="164"/>
      <c r="M82" s="164"/>
      <c r="N82" s="164"/>
      <c r="O82" s="164"/>
      <c r="P82" s="164"/>
      <c r="Q82" s="164"/>
      <c r="R82" s="164"/>
      <c r="S82" s="164"/>
      <c r="T82" s="164"/>
      <c r="U82" s="164"/>
      <c r="V82" s="165"/>
      <c r="X82" s="514"/>
    </row>
    <row r="83" spans="1:24" s="195" customFormat="1" ht="15" thickTop="1" x14ac:dyDescent="0.3">
      <c r="A83"/>
      <c r="B83"/>
      <c r="C83"/>
      <c r="D83"/>
      <c r="E83"/>
      <c r="F83"/>
      <c r="G83"/>
      <c r="H83"/>
      <c r="I83"/>
      <c r="J83"/>
      <c r="K83"/>
      <c r="L83"/>
      <c r="M83"/>
      <c r="N83"/>
      <c r="O83"/>
      <c r="P83"/>
      <c r="Q83"/>
      <c r="R83"/>
      <c r="S83"/>
      <c r="T83"/>
      <c r="U83"/>
      <c r="V83"/>
      <c r="X83" s="514"/>
    </row>
    <row r="84" spans="1:24" s="195" customFormat="1" x14ac:dyDescent="0.3">
      <c r="A84"/>
      <c r="B84"/>
      <c r="C84"/>
      <c r="D84"/>
      <c r="E84"/>
      <c r="F84"/>
      <c r="G84"/>
      <c r="H84"/>
      <c r="I84"/>
      <c r="J84"/>
      <c r="K84"/>
      <c r="L84"/>
      <c r="M84"/>
      <c r="N84"/>
      <c r="O84"/>
      <c r="P84"/>
      <c r="Q84"/>
      <c r="R84"/>
      <c r="S84"/>
      <c r="T84"/>
      <c r="U84"/>
      <c r="V84"/>
      <c r="X84" s="514"/>
    </row>
    <row r="85" spans="1:24" ht="18" x14ac:dyDescent="0.35">
      <c r="Q85" s="515"/>
      <c r="X85" s="514"/>
    </row>
    <row r="86" spans="1:24" x14ac:dyDescent="0.3">
      <c r="X86" s="514"/>
    </row>
    <row r="87" spans="1:24" x14ac:dyDescent="0.3">
      <c r="X87" s="514"/>
    </row>
    <row r="88" spans="1:24" ht="28.8" customHeight="1" x14ac:dyDescent="0.3">
      <c r="X88" s="514"/>
    </row>
    <row r="89" spans="1:24" x14ac:dyDescent="0.3">
      <c r="X89" s="514"/>
    </row>
    <row r="90" spans="1:24" x14ac:dyDescent="0.3">
      <c r="X90" s="514"/>
    </row>
  </sheetData>
  <sheetProtection algorithmName="SHA-512" hashValue="y5DS30zKUFwDS2RUV0BsYX7tyDZtT6lJmgG4P1KdUoFusLWleM/NPVJfgxge3oh4Sv6CBeOiTy38VT2YWyCIpw==" saltValue="KIaVWHGLbHul3F5RUirlSw==" spinCount="100000" sheet="1" objects="1" scenarios="1"/>
  <mergeCells count="30">
    <mergeCell ref="B3:K5"/>
    <mergeCell ref="O49:O50"/>
    <mergeCell ref="F48:J48"/>
    <mergeCell ref="K42:U44"/>
    <mergeCell ref="H13:Q13"/>
    <mergeCell ref="B13:F17"/>
    <mergeCell ref="B25:E25"/>
    <mergeCell ref="B30:E30"/>
    <mergeCell ref="T25:U30"/>
    <mergeCell ref="G26:S26"/>
    <mergeCell ref="F31:S31"/>
    <mergeCell ref="F49:J49"/>
    <mergeCell ref="R76:T76"/>
    <mergeCell ref="P72:S74"/>
    <mergeCell ref="T72:T74"/>
    <mergeCell ref="Q67:U67"/>
    <mergeCell ref="P53:Q54"/>
    <mergeCell ref="P56:U58"/>
    <mergeCell ref="P70:Q70"/>
    <mergeCell ref="P64:U64"/>
    <mergeCell ref="O69:Q69"/>
    <mergeCell ref="R53:S54"/>
    <mergeCell ref="F58:O58"/>
    <mergeCell ref="K53:M53"/>
    <mergeCell ref="C54:M56"/>
    <mergeCell ref="C59:U59"/>
    <mergeCell ref="P63:U63"/>
    <mergeCell ref="R49:S50"/>
    <mergeCell ref="R51:S51"/>
    <mergeCell ref="R52:S52"/>
  </mergeCells>
  <conditionalFormatting sqref="G11:R11">
    <cfRule type="cellIs" dxfId="12" priority="16" operator="equal">
      <formula>1</formula>
    </cfRule>
    <cfRule type="cellIs" dxfId="11" priority="17" operator="between">
      <formula>0.00001</formula>
      <formula>0.99999</formula>
    </cfRule>
    <cfRule type="cellIs" dxfId="10" priority="18" operator="equal">
      <formula>0</formula>
    </cfRule>
  </conditionalFormatting>
  <conditionalFormatting sqref="R53 F53:J53">
    <cfRule type="cellIs" dxfId="9" priority="12" operator="greaterThan">
      <formula>0</formula>
    </cfRule>
  </conditionalFormatting>
  <conditionalFormatting sqref="F30 D32:D34 F33:F34 E31 D27 E26">
    <cfRule type="expression" dxfId="8" priority="7">
      <formula>$K$30="NOTE: Do not select anything other than status quo for bag limit when simulating impacts of vessel limit."</formula>
    </cfRule>
  </conditionalFormatting>
  <conditionalFormatting sqref="F25">
    <cfRule type="expression" dxfId="7" priority="5">
      <formula>$K$30="NOTE: Do not select anything other than status quo for bag limit when simulating impacts of vessel limit."</formula>
    </cfRule>
  </conditionalFormatting>
  <conditionalFormatting sqref="G25">
    <cfRule type="expression" dxfId="6" priority="2">
      <formula>$K$30="NOTE: Do not select anything other than status quo for bag limit when simulating impacts of vessel limit."</formula>
    </cfRule>
  </conditionalFormatting>
  <conditionalFormatting sqref="G30">
    <cfRule type="expression" dxfId="5" priority="1">
      <formula>$K$30="NOTE: Do not select anything other than status quo for bag limit when simulating impacts of vessel limit."</formula>
    </cfRule>
  </conditionalFormatting>
  <dataValidations xWindow="2300" yWindow="873" count="1">
    <dataValidation allowBlank="1" showInputMessage="1" showErrorMessage="1" promptTitle="Sandbox ACL Directions:" prompt="Enter any ACL option to determine the projected overage.  The projected closure date will also be provided below." sqref="R5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locked="0" defaultSize="0" autoLine="0" autoPict="0">
                <anchor moveWithCells="1">
                  <from>
                    <xdr:col>6</xdr:col>
                    <xdr:colOff>15240</xdr:colOff>
                    <xdr:row>8</xdr:row>
                    <xdr:rowOff>220980</xdr:rowOff>
                  </from>
                  <to>
                    <xdr:col>6</xdr:col>
                    <xdr:colOff>807720</xdr:colOff>
                    <xdr:row>9</xdr:row>
                    <xdr:rowOff>220980</xdr:rowOff>
                  </to>
                </anchor>
              </controlPr>
            </control>
          </mc:Choice>
        </mc:AlternateContent>
        <mc:AlternateContent xmlns:mc="http://schemas.openxmlformats.org/markup-compatibility/2006">
          <mc:Choice Requires="x14">
            <control shapeId="1026" r:id="rId5" name="Drop Down 2">
              <controlPr locked="0" defaultSize="0" autoLine="0" autoPict="0">
                <anchor moveWithCells="1">
                  <from>
                    <xdr:col>7</xdr:col>
                    <xdr:colOff>0</xdr:colOff>
                    <xdr:row>8</xdr:row>
                    <xdr:rowOff>220980</xdr:rowOff>
                  </from>
                  <to>
                    <xdr:col>7</xdr:col>
                    <xdr:colOff>807720</xdr:colOff>
                    <xdr:row>9</xdr:row>
                    <xdr:rowOff>220980</xdr:rowOff>
                  </to>
                </anchor>
              </controlPr>
            </control>
          </mc:Choice>
        </mc:AlternateContent>
        <mc:AlternateContent xmlns:mc="http://schemas.openxmlformats.org/markup-compatibility/2006">
          <mc:Choice Requires="x14">
            <control shapeId="1027" r:id="rId6" name="Drop Down 3">
              <controlPr locked="0" defaultSize="0" autoLine="0" autoPict="0">
                <anchor moveWithCells="1">
                  <from>
                    <xdr:col>8</xdr:col>
                    <xdr:colOff>0</xdr:colOff>
                    <xdr:row>8</xdr:row>
                    <xdr:rowOff>220980</xdr:rowOff>
                  </from>
                  <to>
                    <xdr:col>8</xdr:col>
                    <xdr:colOff>807720</xdr:colOff>
                    <xdr:row>9</xdr:row>
                    <xdr:rowOff>220980</xdr:rowOff>
                  </to>
                </anchor>
              </controlPr>
            </control>
          </mc:Choice>
        </mc:AlternateContent>
        <mc:AlternateContent xmlns:mc="http://schemas.openxmlformats.org/markup-compatibility/2006">
          <mc:Choice Requires="x14">
            <control shapeId="1028" r:id="rId7" name="Drop Down 4">
              <controlPr locked="0" defaultSize="0" autoLine="0" autoPict="0">
                <anchor moveWithCells="1">
                  <from>
                    <xdr:col>9</xdr:col>
                    <xdr:colOff>7620</xdr:colOff>
                    <xdr:row>8</xdr:row>
                    <xdr:rowOff>220980</xdr:rowOff>
                  </from>
                  <to>
                    <xdr:col>9</xdr:col>
                    <xdr:colOff>899160</xdr:colOff>
                    <xdr:row>9</xdr:row>
                    <xdr:rowOff>220980</xdr:rowOff>
                  </to>
                </anchor>
              </controlPr>
            </control>
          </mc:Choice>
        </mc:AlternateContent>
        <mc:AlternateContent xmlns:mc="http://schemas.openxmlformats.org/markup-compatibility/2006">
          <mc:Choice Requires="x14">
            <control shapeId="1029" r:id="rId8" name="Drop Down 5">
              <controlPr locked="0" defaultSize="0" autoLine="0" autoPict="0">
                <anchor moveWithCells="1">
                  <from>
                    <xdr:col>10</xdr:col>
                    <xdr:colOff>7620</xdr:colOff>
                    <xdr:row>8</xdr:row>
                    <xdr:rowOff>220980</xdr:rowOff>
                  </from>
                  <to>
                    <xdr:col>10</xdr:col>
                    <xdr:colOff>640080</xdr:colOff>
                    <xdr:row>9</xdr:row>
                    <xdr:rowOff>220980</xdr:rowOff>
                  </to>
                </anchor>
              </controlPr>
            </control>
          </mc:Choice>
        </mc:AlternateContent>
        <mc:AlternateContent xmlns:mc="http://schemas.openxmlformats.org/markup-compatibility/2006">
          <mc:Choice Requires="x14">
            <control shapeId="1030" r:id="rId9" name="Drop Down 6">
              <controlPr locked="0" defaultSize="0" autoLine="0" autoPict="0">
                <anchor moveWithCells="1">
                  <from>
                    <xdr:col>11</xdr:col>
                    <xdr:colOff>7620</xdr:colOff>
                    <xdr:row>8</xdr:row>
                    <xdr:rowOff>220980</xdr:rowOff>
                  </from>
                  <to>
                    <xdr:col>12</xdr:col>
                    <xdr:colOff>0</xdr:colOff>
                    <xdr:row>9</xdr:row>
                    <xdr:rowOff>220980</xdr:rowOff>
                  </to>
                </anchor>
              </controlPr>
            </control>
          </mc:Choice>
        </mc:AlternateContent>
        <mc:AlternateContent xmlns:mc="http://schemas.openxmlformats.org/markup-compatibility/2006">
          <mc:Choice Requires="x14">
            <control shapeId="1031" r:id="rId10" name="Drop Down 7">
              <controlPr locked="0" defaultSize="0" autoLine="0" autoPict="0">
                <anchor moveWithCells="1">
                  <from>
                    <xdr:col>12</xdr:col>
                    <xdr:colOff>0</xdr:colOff>
                    <xdr:row>8</xdr:row>
                    <xdr:rowOff>220980</xdr:rowOff>
                  </from>
                  <to>
                    <xdr:col>12</xdr:col>
                    <xdr:colOff>731520</xdr:colOff>
                    <xdr:row>9</xdr:row>
                    <xdr:rowOff>220980</xdr:rowOff>
                  </to>
                </anchor>
              </controlPr>
            </control>
          </mc:Choice>
        </mc:AlternateContent>
        <mc:AlternateContent xmlns:mc="http://schemas.openxmlformats.org/markup-compatibility/2006">
          <mc:Choice Requires="x14">
            <control shapeId="1032" r:id="rId11" name="Drop Down 8">
              <controlPr locked="0" defaultSize="0" autoLine="0" autoPict="0">
                <anchor moveWithCells="1">
                  <from>
                    <xdr:col>13</xdr:col>
                    <xdr:colOff>0</xdr:colOff>
                    <xdr:row>8</xdr:row>
                    <xdr:rowOff>220980</xdr:rowOff>
                  </from>
                  <to>
                    <xdr:col>13</xdr:col>
                    <xdr:colOff>807720</xdr:colOff>
                    <xdr:row>9</xdr:row>
                    <xdr:rowOff>220980</xdr:rowOff>
                  </to>
                </anchor>
              </controlPr>
            </control>
          </mc:Choice>
        </mc:AlternateContent>
        <mc:AlternateContent xmlns:mc="http://schemas.openxmlformats.org/markup-compatibility/2006">
          <mc:Choice Requires="x14">
            <control shapeId="1033" r:id="rId12" name="Drop Down 9">
              <controlPr locked="0" defaultSize="0" autoLine="0" autoPict="0">
                <anchor moveWithCells="1">
                  <from>
                    <xdr:col>14</xdr:col>
                    <xdr:colOff>0</xdr:colOff>
                    <xdr:row>8</xdr:row>
                    <xdr:rowOff>220980</xdr:rowOff>
                  </from>
                  <to>
                    <xdr:col>14</xdr:col>
                    <xdr:colOff>807720</xdr:colOff>
                    <xdr:row>9</xdr:row>
                    <xdr:rowOff>220980</xdr:rowOff>
                  </to>
                </anchor>
              </controlPr>
            </control>
          </mc:Choice>
        </mc:AlternateContent>
        <mc:AlternateContent xmlns:mc="http://schemas.openxmlformats.org/markup-compatibility/2006">
          <mc:Choice Requires="x14">
            <control shapeId="1034" r:id="rId13" name="Drop Down 10">
              <controlPr locked="0" defaultSize="0" autoLine="0" autoPict="0">
                <anchor moveWithCells="1">
                  <from>
                    <xdr:col>15</xdr:col>
                    <xdr:colOff>0</xdr:colOff>
                    <xdr:row>8</xdr:row>
                    <xdr:rowOff>220980</xdr:rowOff>
                  </from>
                  <to>
                    <xdr:col>15</xdr:col>
                    <xdr:colOff>807720</xdr:colOff>
                    <xdr:row>9</xdr:row>
                    <xdr:rowOff>220980</xdr:rowOff>
                  </to>
                </anchor>
              </controlPr>
            </control>
          </mc:Choice>
        </mc:AlternateContent>
        <mc:AlternateContent xmlns:mc="http://schemas.openxmlformats.org/markup-compatibility/2006">
          <mc:Choice Requires="x14">
            <control shapeId="1035" r:id="rId14" name="Drop Down 11">
              <controlPr locked="0" defaultSize="0" autoLine="0" autoPict="0">
                <anchor moveWithCells="1">
                  <from>
                    <xdr:col>16</xdr:col>
                    <xdr:colOff>7620</xdr:colOff>
                    <xdr:row>8</xdr:row>
                    <xdr:rowOff>220980</xdr:rowOff>
                  </from>
                  <to>
                    <xdr:col>16</xdr:col>
                    <xdr:colOff>579120</xdr:colOff>
                    <xdr:row>9</xdr:row>
                    <xdr:rowOff>220980</xdr:rowOff>
                  </to>
                </anchor>
              </controlPr>
            </control>
          </mc:Choice>
        </mc:AlternateContent>
        <mc:AlternateContent xmlns:mc="http://schemas.openxmlformats.org/markup-compatibility/2006">
          <mc:Choice Requires="x14">
            <control shapeId="1036" r:id="rId15" name="Drop Down 12">
              <controlPr locked="0" defaultSize="0" autoLine="0" autoPict="0">
                <anchor moveWithCells="1">
                  <from>
                    <xdr:col>17</xdr:col>
                    <xdr:colOff>7620</xdr:colOff>
                    <xdr:row>8</xdr:row>
                    <xdr:rowOff>213360</xdr:rowOff>
                  </from>
                  <to>
                    <xdr:col>17</xdr:col>
                    <xdr:colOff>640080</xdr:colOff>
                    <xdr:row>9</xdr:row>
                    <xdr:rowOff>220980</xdr:rowOff>
                  </to>
                </anchor>
              </controlPr>
            </control>
          </mc:Choice>
        </mc:AlternateContent>
        <mc:AlternateContent xmlns:mc="http://schemas.openxmlformats.org/markup-compatibility/2006">
          <mc:Choice Requires="x14">
            <control shapeId="1050" r:id="rId16" name="Drop Down 26">
              <controlPr locked="0" defaultSize="0" autoLine="0" autoPict="0">
                <anchor moveWithCells="1">
                  <from>
                    <xdr:col>6</xdr:col>
                    <xdr:colOff>38100</xdr:colOff>
                    <xdr:row>18</xdr:row>
                    <xdr:rowOff>0</xdr:rowOff>
                  </from>
                  <to>
                    <xdr:col>8</xdr:col>
                    <xdr:colOff>640080</xdr:colOff>
                    <xdr:row>18</xdr:row>
                    <xdr:rowOff>259080</xdr:rowOff>
                  </to>
                </anchor>
              </controlPr>
            </control>
          </mc:Choice>
        </mc:AlternateContent>
        <mc:AlternateContent xmlns:mc="http://schemas.openxmlformats.org/markup-compatibility/2006">
          <mc:Choice Requires="x14">
            <control shapeId="1051" r:id="rId17" name="Drop Down 27">
              <controlPr locked="0" defaultSize="0" autoLine="0" autoPict="0">
                <anchor moveWithCells="1">
                  <from>
                    <xdr:col>7</xdr:col>
                    <xdr:colOff>30480</xdr:colOff>
                    <xdr:row>29</xdr:row>
                    <xdr:rowOff>0</xdr:rowOff>
                  </from>
                  <to>
                    <xdr:col>9</xdr:col>
                    <xdr:colOff>617220</xdr:colOff>
                    <xdr:row>29</xdr:row>
                    <xdr:rowOff>266700</xdr:rowOff>
                  </to>
                </anchor>
              </controlPr>
            </control>
          </mc:Choice>
        </mc:AlternateContent>
        <mc:AlternateContent xmlns:mc="http://schemas.openxmlformats.org/markup-compatibility/2006">
          <mc:Choice Requires="x14">
            <control shapeId="1052" r:id="rId18" name="Drop Down 28">
              <controlPr locked="0" defaultSize="0" autoLine="0" autoPict="0">
                <anchor moveWithCells="1">
                  <from>
                    <xdr:col>11</xdr:col>
                    <xdr:colOff>441960</xdr:colOff>
                    <xdr:row>28</xdr:row>
                    <xdr:rowOff>281940</xdr:rowOff>
                  </from>
                  <to>
                    <xdr:col>14</xdr:col>
                    <xdr:colOff>472440</xdr:colOff>
                    <xdr:row>29</xdr:row>
                    <xdr:rowOff>251460</xdr:rowOff>
                  </to>
                </anchor>
              </controlPr>
            </control>
          </mc:Choice>
        </mc:AlternateContent>
        <mc:AlternateContent xmlns:mc="http://schemas.openxmlformats.org/markup-compatibility/2006">
          <mc:Choice Requires="x14">
            <control shapeId="1053" r:id="rId19" name="Drop Down 29">
              <controlPr locked="0" defaultSize="0" autoLine="0" autoPict="0">
                <anchor moveWithCells="1">
                  <from>
                    <xdr:col>16</xdr:col>
                    <xdr:colOff>45720</xdr:colOff>
                    <xdr:row>29</xdr:row>
                    <xdr:rowOff>0</xdr:rowOff>
                  </from>
                  <to>
                    <xdr:col>18</xdr:col>
                    <xdr:colOff>640080</xdr:colOff>
                    <xdr:row>29</xdr:row>
                    <xdr:rowOff>266700</xdr:rowOff>
                  </to>
                </anchor>
              </controlPr>
            </control>
          </mc:Choice>
        </mc:AlternateContent>
        <mc:AlternateContent xmlns:mc="http://schemas.openxmlformats.org/markup-compatibility/2006">
          <mc:Choice Requires="x14">
            <control shapeId="1054" r:id="rId20" name="Drop Down 30">
              <controlPr locked="0" defaultSize="0" autoLine="0" autoPict="0">
                <anchor moveWithCells="1">
                  <from>
                    <xdr:col>7</xdr:col>
                    <xdr:colOff>15240</xdr:colOff>
                    <xdr:row>24</xdr:row>
                    <xdr:rowOff>0</xdr:rowOff>
                  </from>
                  <to>
                    <xdr:col>9</xdr:col>
                    <xdr:colOff>601980</xdr:colOff>
                    <xdr:row>24</xdr:row>
                    <xdr:rowOff>259080</xdr:rowOff>
                  </to>
                </anchor>
              </controlPr>
            </control>
          </mc:Choice>
        </mc:AlternateContent>
        <mc:AlternateContent xmlns:mc="http://schemas.openxmlformats.org/markup-compatibility/2006">
          <mc:Choice Requires="x14">
            <control shapeId="1055" r:id="rId21" name="Drop Down 31">
              <controlPr locked="0" defaultSize="0" autoLine="0" autoPict="0">
                <anchor moveWithCells="1">
                  <from>
                    <xdr:col>11</xdr:col>
                    <xdr:colOff>457200</xdr:colOff>
                    <xdr:row>24</xdr:row>
                    <xdr:rowOff>15240</xdr:rowOff>
                  </from>
                  <to>
                    <xdr:col>14</xdr:col>
                    <xdr:colOff>480060</xdr:colOff>
                    <xdr:row>24</xdr:row>
                    <xdr:rowOff>274320</xdr:rowOff>
                  </to>
                </anchor>
              </controlPr>
            </control>
          </mc:Choice>
        </mc:AlternateContent>
        <mc:AlternateContent xmlns:mc="http://schemas.openxmlformats.org/markup-compatibility/2006">
          <mc:Choice Requires="x14">
            <control shapeId="1056" r:id="rId22" name="Drop Down 32">
              <controlPr locked="0" defaultSize="0" autoLine="0" autoPict="0">
                <anchor moveWithCells="1">
                  <from>
                    <xdr:col>16</xdr:col>
                    <xdr:colOff>30480</xdr:colOff>
                    <xdr:row>24</xdr:row>
                    <xdr:rowOff>0</xdr:rowOff>
                  </from>
                  <to>
                    <xdr:col>18</xdr:col>
                    <xdr:colOff>624840</xdr:colOff>
                    <xdr:row>24</xdr:row>
                    <xdr:rowOff>259080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M40"/>
  <sheetViews>
    <sheetView workbookViewId="0">
      <selection activeCell="M39" sqref="M39"/>
    </sheetView>
  </sheetViews>
  <sheetFormatPr defaultColWidth="9.109375" defaultRowHeight="15.6" x14ac:dyDescent="0.3"/>
  <cols>
    <col min="1" max="1" width="10.5546875" style="155" customWidth="1"/>
    <col min="2" max="13" width="5.109375" style="155" customWidth="1"/>
    <col min="14" max="16384" width="9.109375" style="155"/>
  </cols>
  <sheetData>
    <row r="2" spans="1:13" x14ac:dyDescent="0.3">
      <c r="A2" s="233" t="s">
        <v>58</v>
      </c>
      <c r="B2" s="234"/>
      <c r="C2" s="234"/>
      <c r="D2" s="234"/>
      <c r="E2" s="234"/>
      <c r="F2" s="234"/>
      <c r="G2" s="234"/>
      <c r="H2" s="234"/>
      <c r="I2" s="234"/>
      <c r="J2" s="234"/>
      <c r="K2" s="234"/>
      <c r="L2" s="234"/>
      <c r="M2" s="234"/>
    </row>
    <row r="3" spans="1:13" x14ac:dyDescent="0.3">
      <c r="A3" s="233"/>
      <c r="B3" s="614" t="s">
        <v>44</v>
      </c>
      <c r="C3" s="614"/>
      <c r="D3" s="614"/>
      <c r="E3" s="614"/>
      <c r="F3" s="614"/>
      <c r="G3" s="614"/>
      <c r="H3" s="614"/>
      <c r="I3" s="614"/>
      <c r="J3" s="614"/>
      <c r="K3" s="614"/>
      <c r="L3" s="614"/>
      <c r="M3" s="614"/>
    </row>
    <row r="4" spans="1:13" ht="16.2" thickBot="1" x14ac:dyDescent="0.35">
      <c r="A4" s="234" t="s">
        <v>50</v>
      </c>
      <c r="B4" s="234" t="s">
        <v>0</v>
      </c>
      <c r="C4" s="234" t="s">
        <v>1</v>
      </c>
      <c r="D4" s="234" t="s">
        <v>2</v>
      </c>
      <c r="E4" s="234" t="s">
        <v>3</v>
      </c>
      <c r="F4" s="234" t="s">
        <v>4</v>
      </c>
      <c r="G4" s="234" t="s">
        <v>5</v>
      </c>
      <c r="H4" s="234" t="s">
        <v>6</v>
      </c>
      <c r="I4" s="234" t="s">
        <v>7</v>
      </c>
      <c r="J4" s="234" t="s">
        <v>8</v>
      </c>
      <c r="K4" s="234" t="s">
        <v>9</v>
      </c>
      <c r="L4" s="234" t="s">
        <v>10</v>
      </c>
      <c r="M4" s="234" t="s">
        <v>11</v>
      </c>
    </row>
    <row r="5" spans="1:13" x14ac:dyDescent="0.3">
      <c r="A5" s="234">
        <v>10</v>
      </c>
      <c r="B5" s="235">
        <v>0</v>
      </c>
      <c r="C5" s="236">
        <v>0</v>
      </c>
      <c r="D5" s="236">
        <v>0</v>
      </c>
      <c r="E5" s="236">
        <v>0</v>
      </c>
      <c r="F5" s="236">
        <v>0</v>
      </c>
      <c r="G5" s="236">
        <v>0</v>
      </c>
      <c r="H5" s="236">
        <v>0</v>
      </c>
      <c r="I5" s="236">
        <v>0</v>
      </c>
      <c r="J5" s="236">
        <v>0</v>
      </c>
      <c r="K5" s="236">
        <v>0</v>
      </c>
      <c r="L5" s="236">
        <v>0</v>
      </c>
      <c r="M5" s="236">
        <v>0</v>
      </c>
    </row>
    <row r="6" spans="1:13" x14ac:dyDescent="0.3">
      <c r="A6" s="234">
        <v>9</v>
      </c>
      <c r="B6" s="237">
        <v>0</v>
      </c>
      <c r="C6" s="238">
        <v>0</v>
      </c>
      <c r="D6" s="238">
        <v>0</v>
      </c>
      <c r="E6" s="238">
        <v>0</v>
      </c>
      <c r="F6" s="238">
        <v>0</v>
      </c>
      <c r="G6" s="238">
        <v>0</v>
      </c>
      <c r="H6" s="238">
        <v>0</v>
      </c>
      <c r="I6" s="238">
        <v>0</v>
      </c>
      <c r="J6" s="238">
        <v>0</v>
      </c>
      <c r="K6" s="238">
        <v>0</v>
      </c>
      <c r="L6" s="238">
        <v>0</v>
      </c>
      <c r="M6" s="238">
        <v>0</v>
      </c>
    </row>
    <row r="7" spans="1:13" x14ac:dyDescent="0.3">
      <c r="A7" s="234">
        <v>8</v>
      </c>
      <c r="B7" s="237">
        <v>0</v>
      </c>
      <c r="C7" s="238">
        <v>0</v>
      </c>
      <c r="D7" s="238">
        <v>0</v>
      </c>
      <c r="E7" s="238">
        <v>0</v>
      </c>
      <c r="F7" s="238">
        <v>0</v>
      </c>
      <c r="G7" s="238">
        <v>0</v>
      </c>
      <c r="H7" s="238">
        <v>0</v>
      </c>
      <c r="I7" s="238">
        <v>0</v>
      </c>
      <c r="J7" s="238">
        <v>0</v>
      </c>
      <c r="K7" s="238">
        <v>0</v>
      </c>
      <c r="L7" s="238">
        <v>0</v>
      </c>
      <c r="M7" s="238">
        <v>0</v>
      </c>
    </row>
    <row r="8" spans="1:13" x14ac:dyDescent="0.3">
      <c r="A8" s="234">
        <v>7</v>
      </c>
      <c r="B8" s="237">
        <v>0</v>
      </c>
      <c r="C8" s="238">
        <v>0</v>
      </c>
      <c r="D8" s="238">
        <v>0</v>
      </c>
      <c r="E8" s="238">
        <v>0</v>
      </c>
      <c r="F8" s="238">
        <v>0</v>
      </c>
      <c r="G8" s="238">
        <v>0</v>
      </c>
      <c r="H8" s="238">
        <v>0</v>
      </c>
      <c r="I8" s="238">
        <v>0</v>
      </c>
      <c r="J8" s="238">
        <v>0</v>
      </c>
      <c r="K8" s="238">
        <v>0</v>
      </c>
      <c r="L8" s="238">
        <v>0</v>
      </c>
      <c r="M8" s="238">
        <v>0</v>
      </c>
    </row>
    <row r="9" spans="1:13" x14ac:dyDescent="0.3">
      <c r="A9" s="234">
        <v>6</v>
      </c>
      <c r="B9" s="237">
        <v>0</v>
      </c>
      <c r="C9" s="238">
        <v>0</v>
      </c>
      <c r="D9" s="238">
        <v>0</v>
      </c>
      <c r="E9" s="238">
        <v>0</v>
      </c>
      <c r="F9" s="238">
        <v>0</v>
      </c>
      <c r="G9" s="238">
        <v>0</v>
      </c>
      <c r="H9" s="238">
        <v>0</v>
      </c>
      <c r="I9" s="238">
        <v>0</v>
      </c>
      <c r="J9" s="238">
        <v>0</v>
      </c>
      <c r="K9" s="238">
        <v>0</v>
      </c>
      <c r="L9" s="238">
        <v>0</v>
      </c>
      <c r="M9" s="238">
        <v>0</v>
      </c>
    </row>
    <row r="10" spans="1:13" x14ac:dyDescent="0.3">
      <c r="A10" s="234">
        <v>5</v>
      </c>
      <c r="B10" s="237">
        <v>0</v>
      </c>
      <c r="C10" s="238">
        <v>0</v>
      </c>
      <c r="D10" s="238">
        <v>0</v>
      </c>
      <c r="E10" s="238">
        <v>0</v>
      </c>
      <c r="F10" s="238">
        <v>0</v>
      </c>
      <c r="G10" s="238">
        <v>0</v>
      </c>
      <c r="H10" s="238">
        <v>0</v>
      </c>
      <c r="I10" s="238">
        <v>0</v>
      </c>
      <c r="J10" s="238">
        <v>0</v>
      </c>
      <c r="K10" s="238">
        <v>0</v>
      </c>
      <c r="L10" s="238">
        <v>0</v>
      </c>
      <c r="M10" s="238">
        <v>0</v>
      </c>
    </row>
    <row r="11" spans="1:13" x14ac:dyDescent="0.3">
      <c r="A11" s="234">
        <v>4</v>
      </c>
      <c r="B11" s="237">
        <v>0</v>
      </c>
      <c r="C11" s="238">
        <v>0</v>
      </c>
      <c r="D11" s="238">
        <v>0</v>
      </c>
      <c r="E11" s="238">
        <v>0</v>
      </c>
      <c r="F11" s="238">
        <v>8.6561350357065565E-4</v>
      </c>
      <c r="G11" s="238">
        <v>1.3586956521739131E-4</v>
      </c>
      <c r="H11" s="238">
        <v>0</v>
      </c>
      <c r="I11" s="238">
        <v>1.5523932729624838E-3</v>
      </c>
      <c r="J11" s="238">
        <v>0</v>
      </c>
      <c r="K11" s="238">
        <v>0</v>
      </c>
      <c r="L11" s="238">
        <v>0</v>
      </c>
      <c r="M11" s="238">
        <v>0</v>
      </c>
    </row>
    <row r="12" spans="1:13" x14ac:dyDescent="0.3">
      <c r="A12" s="234">
        <v>3</v>
      </c>
      <c r="B12" s="237">
        <v>0</v>
      </c>
      <c r="C12" s="238">
        <v>0</v>
      </c>
      <c r="D12" s="238">
        <v>0</v>
      </c>
      <c r="E12" s="238">
        <v>0</v>
      </c>
      <c r="F12" s="238">
        <v>3.0296472624972955E-3</v>
      </c>
      <c r="G12" s="238">
        <v>1.766304347826087E-3</v>
      </c>
      <c r="H12" s="238">
        <v>0</v>
      </c>
      <c r="I12" s="238">
        <v>8.2794307891332474E-3</v>
      </c>
      <c r="J12" s="238">
        <v>0</v>
      </c>
      <c r="K12" s="238">
        <v>1.8027762754642149E-4</v>
      </c>
      <c r="L12" s="238">
        <v>1.8027762754642149E-4</v>
      </c>
      <c r="M12" s="238">
        <v>1.8027762754642149E-4</v>
      </c>
    </row>
    <row r="13" spans="1:13" x14ac:dyDescent="0.3">
      <c r="A13" s="234">
        <v>2</v>
      </c>
      <c r="B13" s="237">
        <v>1.3544018058690742E-3</v>
      </c>
      <c r="C13" s="238">
        <v>1.3544018058690742E-3</v>
      </c>
      <c r="D13" s="238">
        <v>1.3544018058690742E-3</v>
      </c>
      <c r="E13" s="238">
        <v>7.7359463641052091E-3</v>
      </c>
      <c r="F13" s="238">
        <v>1.1252975546418525E-2</v>
      </c>
      <c r="G13" s="238">
        <v>9.6467391304347824E-3</v>
      </c>
      <c r="H13" s="238">
        <v>2.1540118470651588E-3</v>
      </c>
      <c r="I13" s="238">
        <v>1.7335058214747737E-2</v>
      </c>
      <c r="J13" s="238">
        <v>1.3784954706577392E-2</v>
      </c>
      <c r="K13" s="238">
        <v>5.408328826392644E-3</v>
      </c>
      <c r="L13" s="238">
        <v>5.408328826392644E-3</v>
      </c>
      <c r="M13" s="238">
        <v>5.408328826392644E-3</v>
      </c>
    </row>
    <row r="14" spans="1:13" x14ac:dyDescent="0.3">
      <c r="A14" s="234">
        <v>1</v>
      </c>
      <c r="B14" s="237">
        <v>3.9729119638826187E-2</v>
      </c>
      <c r="C14" s="238">
        <v>3.9729119638826187E-2</v>
      </c>
      <c r="D14" s="238">
        <v>3.9729119638826187E-2</v>
      </c>
      <c r="E14" s="238">
        <v>4.7705002578648778E-2</v>
      </c>
      <c r="F14" s="238">
        <v>5.1287600086561351E-2</v>
      </c>
      <c r="G14" s="238">
        <v>3.3016304347826084E-2</v>
      </c>
      <c r="H14" s="238">
        <v>1.74115957637767E-2</v>
      </c>
      <c r="I14" s="238">
        <v>4.0879689521345408E-2</v>
      </c>
      <c r="J14" s="238">
        <v>7.3257187869239862E-2</v>
      </c>
      <c r="K14" s="238">
        <v>4.3807463493780424E-2</v>
      </c>
      <c r="L14" s="238">
        <v>4.3807463493780424E-2</v>
      </c>
      <c r="M14" s="238">
        <v>4.3807463493780424E-2</v>
      </c>
    </row>
    <row r="15" spans="1:13" x14ac:dyDescent="0.3">
      <c r="A15" s="234"/>
      <c r="B15" s="234"/>
      <c r="C15" s="234"/>
      <c r="D15" s="234"/>
      <c r="E15" s="234"/>
      <c r="F15" s="234"/>
      <c r="G15" s="234"/>
      <c r="H15" s="234"/>
      <c r="I15" s="234"/>
      <c r="J15" s="234"/>
      <c r="K15" s="234"/>
      <c r="L15" s="234"/>
      <c r="M15" s="234"/>
    </row>
    <row r="16" spans="1:13" x14ac:dyDescent="0.3">
      <c r="A16" s="233" t="s">
        <v>60</v>
      </c>
      <c r="B16" s="234"/>
      <c r="C16" s="234"/>
      <c r="D16" s="234"/>
      <c r="E16" s="234"/>
      <c r="F16" s="234"/>
      <c r="G16" s="234"/>
      <c r="H16" s="234"/>
      <c r="I16" s="234"/>
      <c r="J16" s="234"/>
      <c r="K16" s="234"/>
      <c r="L16" s="234"/>
      <c r="M16" s="234"/>
    </row>
    <row r="17" spans="1:13" x14ac:dyDescent="0.3">
      <c r="A17" s="234" t="s">
        <v>44</v>
      </c>
      <c r="B17" s="234" t="s">
        <v>0</v>
      </c>
      <c r="C17" s="234" t="s">
        <v>1</v>
      </c>
      <c r="D17" s="234" t="s">
        <v>2</v>
      </c>
      <c r="E17" s="234" t="s">
        <v>3</v>
      </c>
      <c r="F17" s="234" t="s">
        <v>4</v>
      </c>
      <c r="G17" s="234" t="s">
        <v>5</v>
      </c>
      <c r="H17" s="234" t="s">
        <v>6</v>
      </c>
      <c r="I17" s="234" t="s">
        <v>7</v>
      </c>
      <c r="J17" s="234" t="s">
        <v>8</v>
      </c>
      <c r="K17" s="234" t="s">
        <v>9</v>
      </c>
      <c r="L17" s="234" t="s">
        <v>10</v>
      </c>
      <c r="M17" s="234" t="s">
        <v>11</v>
      </c>
    </row>
    <row r="18" spans="1:13" x14ac:dyDescent="0.3">
      <c r="A18" s="234">
        <v>10</v>
      </c>
      <c r="B18" s="237">
        <v>0</v>
      </c>
      <c r="C18" s="238">
        <v>0</v>
      </c>
      <c r="D18" s="238">
        <v>0</v>
      </c>
      <c r="E18" s="238">
        <v>0</v>
      </c>
      <c r="F18" s="238">
        <v>0</v>
      </c>
      <c r="G18" s="238">
        <v>2.3715415019762841E-2</v>
      </c>
      <c r="H18" s="238">
        <v>0</v>
      </c>
      <c r="I18" s="238">
        <v>0</v>
      </c>
      <c r="J18" s="238">
        <v>0</v>
      </c>
      <c r="K18" s="238">
        <v>2.4390243902439024E-3</v>
      </c>
      <c r="L18" s="238">
        <v>2.4390243902439024E-3</v>
      </c>
      <c r="M18" s="238">
        <v>2.4390243902439024E-3</v>
      </c>
    </row>
    <row r="19" spans="1:13" x14ac:dyDescent="0.3">
      <c r="A19" s="234">
        <v>9</v>
      </c>
      <c r="B19" s="237">
        <v>0</v>
      </c>
      <c r="C19" s="238">
        <v>0</v>
      </c>
      <c r="D19" s="238">
        <v>0</v>
      </c>
      <c r="E19" s="238">
        <v>0</v>
      </c>
      <c r="F19" s="238">
        <v>0</v>
      </c>
      <c r="G19" s="238">
        <v>4.7430830039525682E-2</v>
      </c>
      <c r="H19" s="238">
        <v>0</v>
      </c>
      <c r="I19" s="238">
        <v>0</v>
      </c>
      <c r="J19" s="238">
        <v>0</v>
      </c>
      <c r="K19" s="238">
        <v>7.3170731707317086E-3</v>
      </c>
      <c r="L19" s="238">
        <v>7.3170731707317086E-3</v>
      </c>
      <c r="M19" s="238">
        <v>7.3170731707317086E-3</v>
      </c>
    </row>
    <row r="20" spans="1:13" x14ac:dyDescent="0.3">
      <c r="A20" s="234">
        <v>8</v>
      </c>
      <c r="B20" s="237">
        <v>0</v>
      </c>
      <c r="C20" s="238">
        <v>0</v>
      </c>
      <c r="D20" s="238">
        <v>0</v>
      </c>
      <c r="E20" s="238">
        <v>0</v>
      </c>
      <c r="F20" s="238">
        <v>0</v>
      </c>
      <c r="G20" s="238">
        <v>7.1146245059288543E-2</v>
      </c>
      <c r="H20" s="238">
        <v>0</v>
      </c>
      <c r="I20" s="238">
        <v>0</v>
      </c>
      <c r="J20" s="238">
        <v>0</v>
      </c>
      <c r="K20" s="238">
        <v>1.2195121951219513E-2</v>
      </c>
      <c r="L20" s="238">
        <v>1.2195121951219513E-2</v>
      </c>
      <c r="M20" s="238">
        <v>1.2195121951219513E-2</v>
      </c>
    </row>
    <row r="21" spans="1:13" x14ac:dyDescent="0.3">
      <c r="A21" s="234">
        <v>7</v>
      </c>
      <c r="B21" s="237">
        <v>0</v>
      </c>
      <c r="C21" s="238">
        <v>0</v>
      </c>
      <c r="D21" s="238">
        <v>0</v>
      </c>
      <c r="E21" s="238">
        <v>0</v>
      </c>
      <c r="F21" s="238">
        <v>0</v>
      </c>
      <c r="G21" s="238">
        <v>9.4861660079051363E-2</v>
      </c>
      <c r="H21" s="238">
        <v>0</v>
      </c>
      <c r="I21" s="238">
        <v>0</v>
      </c>
      <c r="J21" s="238">
        <v>0</v>
      </c>
      <c r="K21" s="238">
        <v>1.7073170731707318E-2</v>
      </c>
      <c r="L21" s="238">
        <v>1.7073170731707318E-2</v>
      </c>
      <c r="M21" s="238">
        <v>1.7073170731707318E-2</v>
      </c>
    </row>
    <row r="22" spans="1:13" x14ac:dyDescent="0.3">
      <c r="A22" s="234">
        <v>6</v>
      </c>
      <c r="B22" s="237">
        <v>0</v>
      </c>
      <c r="C22" s="238">
        <v>0</v>
      </c>
      <c r="D22" s="238">
        <v>0</v>
      </c>
      <c r="E22" s="238">
        <v>0</v>
      </c>
      <c r="F22" s="238">
        <v>0</v>
      </c>
      <c r="G22" s="238">
        <v>0.11857707509881422</v>
      </c>
      <c r="H22" s="238">
        <v>0</v>
      </c>
      <c r="I22" s="238">
        <v>0</v>
      </c>
      <c r="J22" s="238">
        <v>3.3898305084745762E-3</v>
      </c>
      <c r="K22" s="238">
        <v>2.1951219512195121E-2</v>
      </c>
      <c r="L22" s="238">
        <v>2.1951219512195121E-2</v>
      </c>
      <c r="M22" s="238">
        <v>2.1951219512195121E-2</v>
      </c>
    </row>
    <row r="23" spans="1:13" x14ac:dyDescent="0.3">
      <c r="A23" s="234">
        <v>5</v>
      </c>
      <c r="B23" s="237">
        <v>0</v>
      </c>
      <c r="C23" s="238">
        <v>0</v>
      </c>
      <c r="D23" s="238">
        <v>0</v>
      </c>
      <c r="E23" s="238">
        <v>1.1029411764705883E-2</v>
      </c>
      <c r="F23" s="238">
        <v>0</v>
      </c>
      <c r="G23" s="238">
        <v>0.14229249011857709</v>
      </c>
      <c r="H23" s="238">
        <v>1.6304347826086956E-2</v>
      </c>
      <c r="I23" s="238">
        <v>0</v>
      </c>
      <c r="J23" s="238">
        <v>6.7796610169491523E-3</v>
      </c>
      <c r="K23" s="238">
        <v>2.682926829268293E-2</v>
      </c>
      <c r="L23" s="238">
        <v>2.682926829268293E-2</v>
      </c>
      <c r="M23" s="238">
        <v>2.682926829268293E-2</v>
      </c>
    </row>
    <row r="24" spans="1:13" x14ac:dyDescent="0.3">
      <c r="A24" s="234">
        <v>4</v>
      </c>
      <c r="B24" s="237">
        <v>4.2194092827004216E-3</v>
      </c>
      <c r="C24" s="238">
        <v>4.2194092827004216E-3</v>
      </c>
      <c r="D24" s="238">
        <v>4.2194092827004216E-3</v>
      </c>
      <c r="E24" s="238">
        <v>2.9411764705882349E-2</v>
      </c>
      <c r="F24" s="238">
        <v>0</v>
      </c>
      <c r="G24" s="238">
        <v>0.16600790513833993</v>
      </c>
      <c r="H24" s="238">
        <v>3.8043478260869568E-2</v>
      </c>
      <c r="I24" s="238">
        <v>0</v>
      </c>
      <c r="J24" s="238">
        <v>1.0169491525423728E-2</v>
      </c>
      <c r="K24" s="238">
        <v>3.1707317073170732E-2</v>
      </c>
      <c r="L24" s="238">
        <v>3.1707317073170732E-2</v>
      </c>
      <c r="M24" s="238">
        <v>3.1707317073170732E-2</v>
      </c>
    </row>
    <row r="25" spans="1:13" x14ac:dyDescent="0.3">
      <c r="A25" s="234">
        <v>3</v>
      </c>
      <c r="B25" s="237">
        <v>3.7974683544303799E-2</v>
      </c>
      <c r="C25" s="238">
        <v>3.7974683544303799E-2</v>
      </c>
      <c r="D25" s="238">
        <v>3.7974683544303799E-2</v>
      </c>
      <c r="E25" s="238">
        <v>4.779411764705882E-2</v>
      </c>
      <c r="F25" s="238">
        <v>0</v>
      </c>
      <c r="G25" s="238">
        <v>0.18972332015810273</v>
      </c>
      <c r="H25" s="238">
        <v>8.6956521739130432E-2</v>
      </c>
      <c r="I25" s="238">
        <v>0</v>
      </c>
      <c r="J25" s="238">
        <v>1.3559322033898305E-2</v>
      </c>
      <c r="K25" s="238">
        <v>5.6097560975609764E-2</v>
      </c>
      <c r="L25" s="238">
        <v>5.6097560975609764E-2</v>
      </c>
      <c r="M25" s="238">
        <v>5.6097560975609764E-2</v>
      </c>
    </row>
    <row r="26" spans="1:13" x14ac:dyDescent="0.3">
      <c r="A26" s="234">
        <v>2</v>
      </c>
      <c r="B26" s="237">
        <v>0.16455696202531644</v>
      </c>
      <c r="C26" s="238">
        <v>0.16455696202531644</v>
      </c>
      <c r="D26" s="238">
        <v>0.16455696202531644</v>
      </c>
      <c r="E26" s="238">
        <v>8.8235294117647065E-2</v>
      </c>
      <c r="F26" s="238">
        <v>6.9930069930069935E-2</v>
      </c>
      <c r="G26" s="238">
        <v>0.22529644268774704</v>
      </c>
      <c r="H26" s="238">
        <v>0.1358695652173913</v>
      </c>
      <c r="I26" s="238">
        <v>2.1352313167259787E-2</v>
      </c>
      <c r="J26" s="238">
        <v>4.4067796610169491E-2</v>
      </c>
      <c r="K26" s="238">
        <v>9.2682926829268292E-2</v>
      </c>
      <c r="L26" s="238">
        <v>9.2682926829268292E-2</v>
      </c>
      <c r="M26" s="238">
        <v>9.2682926829268292E-2</v>
      </c>
    </row>
    <row r="27" spans="1:13" x14ac:dyDescent="0.3">
      <c r="A27" s="234">
        <v>1</v>
      </c>
      <c r="B27" s="237">
        <v>0.40506329113924056</v>
      </c>
      <c r="C27" s="238">
        <v>0.40506329113924056</v>
      </c>
      <c r="D27" s="238">
        <v>0.40506329113924056</v>
      </c>
      <c r="E27" s="238">
        <v>0.23897058823529413</v>
      </c>
      <c r="F27" s="238">
        <v>0.21678321678321677</v>
      </c>
      <c r="G27" s="238">
        <v>0.30434782608695654</v>
      </c>
      <c r="H27" s="238">
        <v>0.30434782608695654</v>
      </c>
      <c r="I27" s="238">
        <v>0.199288256227758</v>
      </c>
      <c r="J27" s="238">
        <v>0.21016949152542369</v>
      </c>
      <c r="K27" s="238">
        <v>0.21219512195121951</v>
      </c>
      <c r="L27" s="238">
        <v>0.21219512195121951</v>
      </c>
      <c r="M27" s="238">
        <v>0.21219512195121951</v>
      </c>
    </row>
    <row r="28" spans="1:13" x14ac:dyDescent="0.3">
      <c r="A28" s="234"/>
      <c r="B28" s="234"/>
      <c r="C28" s="234"/>
      <c r="D28" s="234"/>
      <c r="E28" s="234"/>
      <c r="F28" s="234"/>
      <c r="G28" s="234"/>
      <c r="H28" s="234"/>
      <c r="I28" s="234"/>
      <c r="J28" s="234"/>
      <c r="K28" s="234"/>
      <c r="L28" s="234"/>
      <c r="M28" s="234"/>
    </row>
    <row r="29" spans="1:13" x14ac:dyDescent="0.3">
      <c r="A29" s="233" t="s">
        <v>59</v>
      </c>
      <c r="B29" s="234"/>
      <c r="C29" s="234"/>
      <c r="D29" s="234"/>
      <c r="E29" s="234"/>
      <c r="F29" s="234"/>
      <c r="G29" s="234"/>
      <c r="H29" s="234"/>
      <c r="I29" s="234"/>
      <c r="J29" s="234"/>
      <c r="K29" s="234"/>
      <c r="L29" s="234"/>
      <c r="M29" s="234"/>
    </row>
    <row r="30" spans="1:13" x14ac:dyDescent="0.3">
      <c r="A30" s="234" t="s">
        <v>44</v>
      </c>
      <c r="B30" s="234" t="s">
        <v>0</v>
      </c>
      <c r="C30" s="234" t="s">
        <v>1</v>
      </c>
      <c r="D30" s="234" t="s">
        <v>2</v>
      </c>
      <c r="E30" s="234" t="s">
        <v>3</v>
      </c>
      <c r="F30" s="234" t="s">
        <v>4</v>
      </c>
      <c r="G30" s="234" t="s">
        <v>5</v>
      </c>
      <c r="H30" s="234" t="s">
        <v>6</v>
      </c>
      <c r="I30" s="234" t="s">
        <v>7</v>
      </c>
      <c r="J30" s="234" t="s">
        <v>8</v>
      </c>
      <c r="K30" s="234" t="s">
        <v>9</v>
      </c>
      <c r="L30" s="234" t="s">
        <v>10</v>
      </c>
      <c r="M30" s="234" t="s">
        <v>11</v>
      </c>
    </row>
    <row r="31" spans="1:13" x14ac:dyDescent="0.3">
      <c r="A31" s="234">
        <v>10</v>
      </c>
      <c r="B31" s="237">
        <v>4.3478260869565216E-2</v>
      </c>
      <c r="C31" s="238">
        <v>4.3478260869565216E-2</v>
      </c>
      <c r="D31" s="238">
        <v>4.3478260869565216E-2</v>
      </c>
      <c r="E31" s="238">
        <v>2.3809523809523808E-2</v>
      </c>
      <c r="F31" s="238">
        <v>0</v>
      </c>
      <c r="G31" s="238">
        <v>0.20979020979020979</v>
      </c>
      <c r="H31" s="238">
        <v>1.5384615384615385E-2</v>
      </c>
      <c r="I31" s="238">
        <v>0</v>
      </c>
      <c r="J31" s="238">
        <v>0</v>
      </c>
      <c r="K31" s="238">
        <v>0</v>
      </c>
      <c r="L31" s="238">
        <v>0</v>
      </c>
      <c r="M31" s="238">
        <v>0</v>
      </c>
    </row>
    <row r="32" spans="1:13" x14ac:dyDescent="0.3">
      <c r="A32" s="234">
        <v>9</v>
      </c>
      <c r="B32" s="237">
        <v>6.5217391304347824E-2</v>
      </c>
      <c r="C32" s="238">
        <v>6.5217391304347824E-2</v>
      </c>
      <c r="D32" s="238">
        <v>6.5217391304347824E-2</v>
      </c>
      <c r="E32" s="238">
        <v>3.5714285714285712E-2</v>
      </c>
      <c r="F32" s="238">
        <v>0</v>
      </c>
      <c r="G32" s="238">
        <v>0.23076923076923075</v>
      </c>
      <c r="H32" s="238">
        <v>3.0769230769230771E-2</v>
      </c>
      <c r="I32" s="238">
        <v>0</v>
      </c>
      <c r="J32" s="238">
        <v>0</v>
      </c>
      <c r="K32" s="238">
        <v>0</v>
      </c>
      <c r="L32" s="238">
        <v>0</v>
      </c>
      <c r="M32" s="238">
        <v>0</v>
      </c>
    </row>
    <row r="33" spans="1:13" x14ac:dyDescent="0.3">
      <c r="A33" s="234">
        <v>8</v>
      </c>
      <c r="B33" s="237">
        <v>8.6956521739130432E-2</v>
      </c>
      <c r="C33" s="238">
        <v>8.6956521739130432E-2</v>
      </c>
      <c r="D33" s="238">
        <v>8.6956521739130432E-2</v>
      </c>
      <c r="E33" s="238">
        <v>4.7619047619047616E-2</v>
      </c>
      <c r="F33" s="238">
        <v>0</v>
      </c>
      <c r="G33" s="238">
        <v>0.25174825174825177</v>
      </c>
      <c r="H33" s="238">
        <v>4.6153846153846156E-2</v>
      </c>
      <c r="I33" s="238">
        <v>0</v>
      </c>
      <c r="J33" s="238">
        <v>0</v>
      </c>
      <c r="K33" s="238">
        <v>0</v>
      </c>
      <c r="L33" s="238">
        <v>0</v>
      </c>
      <c r="M33" s="238">
        <v>0</v>
      </c>
    </row>
    <row r="34" spans="1:13" x14ac:dyDescent="0.3">
      <c r="A34" s="234">
        <v>7</v>
      </c>
      <c r="B34" s="237">
        <v>0.10869565217391304</v>
      </c>
      <c r="C34" s="238">
        <v>0.10869565217391304</v>
      </c>
      <c r="D34" s="238">
        <v>0.10869565217391304</v>
      </c>
      <c r="E34" s="238">
        <v>5.9523809523809514E-2</v>
      </c>
      <c r="F34" s="238">
        <v>0</v>
      </c>
      <c r="G34" s="238">
        <v>0.27272727272727271</v>
      </c>
      <c r="H34" s="238">
        <v>6.1538461538461542E-2</v>
      </c>
      <c r="I34" s="238">
        <v>0</v>
      </c>
      <c r="J34" s="238">
        <v>0</v>
      </c>
      <c r="K34" s="238">
        <v>0</v>
      </c>
      <c r="L34" s="238">
        <v>0</v>
      </c>
      <c r="M34" s="238">
        <v>0</v>
      </c>
    </row>
    <row r="35" spans="1:13" x14ac:dyDescent="0.3">
      <c r="A35" s="234">
        <v>6</v>
      </c>
      <c r="B35" s="237">
        <v>0.13043478260869565</v>
      </c>
      <c r="C35" s="238">
        <v>0.13043478260869565</v>
      </c>
      <c r="D35" s="238">
        <v>0.13043478260869565</v>
      </c>
      <c r="E35" s="238">
        <v>7.1428571428571425E-2</v>
      </c>
      <c r="F35" s="238">
        <v>0</v>
      </c>
      <c r="G35" s="238">
        <v>0.2937062937062937</v>
      </c>
      <c r="H35" s="238">
        <v>7.6923076923076927E-2</v>
      </c>
      <c r="I35" s="238">
        <v>2.1739130434782608E-2</v>
      </c>
      <c r="J35" s="238">
        <v>0</v>
      </c>
      <c r="K35" s="238">
        <v>0</v>
      </c>
      <c r="L35" s="238">
        <v>0</v>
      </c>
      <c r="M35" s="238">
        <v>0</v>
      </c>
    </row>
    <row r="36" spans="1:13" x14ac:dyDescent="0.3">
      <c r="A36" s="234">
        <v>5</v>
      </c>
      <c r="B36" s="237">
        <v>0.15217391304347827</v>
      </c>
      <c r="C36" s="238">
        <v>0.15217391304347827</v>
      </c>
      <c r="D36" s="238">
        <v>0.15217391304347827</v>
      </c>
      <c r="E36" s="238">
        <v>0.14285714285714285</v>
      </c>
      <c r="F36" s="238">
        <v>8.4745762711864389E-2</v>
      </c>
      <c r="G36" s="238">
        <v>0.31468531468531469</v>
      </c>
      <c r="H36" s="238">
        <v>9.2307692307692313E-2</v>
      </c>
      <c r="I36" s="238">
        <v>6.5217391304347824E-2</v>
      </c>
      <c r="J36" s="238">
        <v>0</v>
      </c>
      <c r="K36" s="238">
        <v>0</v>
      </c>
      <c r="L36" s="238">
        <v>0</v>
      </c>
      <c r="M36" s="238">
        <v>0</v>
      </c>
    </row>
    <row r="37" spans="1:13" x14ac:dyDescent="0.3">
      <c r="A37" s="234">
        <v>4</v>
      </c>
      <c r="B37" s="237">
        <v>0.17391304347826086</v>
      </c>
      <c r="C37" s="238">
        <v>0.17391304347826086</v>
      </c>
      <c r="D37" s="238">
        <v>0.17391304347826086</v>
      </c>
      <c r="E37" s="238">
        <v>0.22619047619047619</v>
      </c>
      <c r="F37" s="238">
        <v>0.1864406779661017</v>
      </c>
      <c r="G37" s="238">
        <v>0.33566433566433568</v>
      </c>
      <c r="H37" s="238">
        <v>0.1076923076923077</v>
      </c>
      <c r="I37" s="238">
        <v>0.10869565217391304</v>
      </c>
      <c r="J37" s="238">
        <v>1.4705882352941175E-2</v>
      </c>
      <c r="K37" s="238">
        <v>1.4705882352941175E-2</v>
      </c>
      <c r="L37" s="238">
        <v>1.4705882352941175E-2</v>
      </c>
      <c r="M37" s="238">
        <v>1.4705882352941175E-2</v>
      </c>
    </row>
    <row r="38" spans="1:13" x14ac:dyDescent="0.3">
      <c r="A38" s="234">
        <v>3</v>
      </c>
      <c r="B38" s="237">
        <v>0.19565217391304349</v>
      </c>
      <c r="C38" s="238">
        <v>0.19565217391304349</v>
      </c>
      <c r="D38" s="238">
        <v>0.19565217391304349</v>
      </c>
      <c r="E38" s="238">
        <v>0.30952380952380953</v>
      </c>
      <c r="F38" s="238">
        <v>0.28813559322033899</v>
      </c>
      <c r="G38" s="238">
        <v>0.35664335664335667</v>
      </c>
      <c r="H38" s="238">
        <v>0.12307692307692308</v>
      </c>
      <c r="I38" s="238">
        <v>0.15217391304347827</v>
      </c>
      <c r="J38" s="238">
        <v>2.9411764705882349E-2</v>
      </c>
      <c r="K38" s="238">
        <v>2.9411764705882349E-2</v>
      </c>
      <c r="L38" s="238">
        <v>2.9411764705882349E-2</v>
      </c>
      <c r="M38" s="238">
        <v>2.9411764705882349E-2</v>
      </c>
    </row>
    <row r="39" spans="1:13" x14ac:dyDescent="0.3">
      <c r="A39" s="234">
        <v>2</v>
      </c>
      <c r="B39" s="237">
        <v>0.30434782608695654</v>
      </c>
      <c r="C39" s="238">
        <v>0.30434782608695654</v>
      </c>
      <c r="D39" s="238">
        <v>0.30434782608695654</v>
      </c>
      <c r="E39" s="238">
        <v>0.40476190476190477</v>
      </c>
      <c r="F39" s="238">
        <v>0.38983050847457629</v>
      </c>
      <c r="G39" s="238">
        <v>0.38461538461538469</v>
      </c>
      <c r="H39" s="238">
        <v>0.15384615384615385</v>
      </c>
      <c r="I39" s="238">
        <v>0.19565217391304349</v>
      </c>
      <c r="J39" s="238">
        <v>0.13235294117647059</v>
      </c>
      <c r="K39" s="238">
        <v>0.13235294117647059</v>
      </c>
      <c r="L39" s="238">
        <v>0.13235294117647059</v>
      </c>
      <c r="M39" s="238">
        <v>0.13235294117647059</v>
      </c>
    </row>
    <row r="40" spans="1:13" x14ac:dyDescent="0.3">
      <c r="A40" s="234">
        <v>1</v>
      </c>
      <c r="B40" s="237">
        <v>0.52173913043478259</v>
      </c>
      <c r="C40" s="238">
        <v>0.52173913043478259</v>
      </c>
      <c r="D40" s="238">
        <v>0.52173913043478259</v>
      </c>
      <c r="E40" s="238">
        <v>0.52380952380952384</v>
      </c>
      <c r="F40" s="238">
        <v>0.49152542372881358</v>
      </c>
      <c r="G40" s="238">
        <v>0.48251748251748255</v>
      </c>
      <c r="H40" s="238">
        <v>0.29230769230769232</v>
      </c>
      <c r="I40" s="238">
        <v>0.30434782608695654</v>
      </c>
      <c r="J40" s="238">
        <v>0.25</v>
      </c>
      <c r="K40" s="238">
        <v>0.25</v>
      </c>
      <c r="L40" s="238">
        <v>0.25</v>
      </c>
      <c r="M40" s="238">
        <v>0.25</v>
      </c>
    </row>
  </sheetData>
  <mergeCells count="1">
    <mergeCell ref="B3:M3"/>
  </mergeCells>
  <conditionalFormatting sqref="B5:M14">
    <cfRule type="colorScale" priority="4">
      <colorScale>
        <cfvo type="min"/>
        <cfvo type="max"/>
        <color rgb="FFFFEF9C"/>
        <color rgb="FFFF7128"/>
      </colorScale>
    </cfRule>
  </conditionalFormatting>
  <conditionalFormatting sqref="B18:M27">
    <cfRule type="colorScale" priority="5">
      <colorScale>
        <cfvo type="min"/>
        <cfvo type="max"/>
        <color rgb="FFFFEF9C"/>
        <color rgb="FFFF7128"/>
      </colorScale>
    </cfRule>
  </conditionalFormatting>
  <conditionalFormatting sqref="B31:M40">
    <cfRule type="colorScale" priority="6">
      <colorScale>
        <cfvo type="min"/>
        <cfvo type="max"/>
        <color rgb="FFFFEF9C"/>
        <color rgb="FFFF7128"/>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D89"/>
  <sheetViews>
    <sheetView zoomScale="75" zoomScaleNormal="75" workbookViewId="0">
      <selection activeCell="C37" sqref="C37"/>
    </sheetView>
  </sheetViews>
  <sheetFormatPr defaultRowHeight="14.4" x14ac:dyDescent="0.3"/>
  <sheetData>
    <row r="1" spans="1:30" x14ac:dyDescent="0.3">
      <c r="A1" s="212"/>
      <c r="B1" s="212"/>
      <c r="C1" s="212"/>
      <c r="D1" s="212"/>
      <c r="E1" s="212"/>
      <c r="F1" s="212" t="s">
        <v>57</v>
      </c>
      <c r="G1" s="212"/>
      <c r="H1" s="212"/>
      <c r="I1" s="212"/>
      <c r="J1" s="212"/>
      <c r="K1" s="212"/>
      <c r="L1" s="212"/>
      <c r="M1" s="212"/>
      <c r="N1" s="212"/>
      <c r="O1" s="212"/>
      <c r="P1" s="212"/>
      <c r="Q1" s="212"/>
      <c r="R1" s="212"/>
      <c r="S1" s="212"/>
      <c r="T1" s="212"/>
      <c r="U1" s="212"/>
      <c r="V1" s="212"/>
      <c r="W1" s="212"/>
      <c r="X1" s="212"/>
      <c r="Y1" s="212"/>
      <c r="Z1" s="212"/>
      <c r="AA1" s="212"/>
      <c r="AB1" s="212"/>
    </row>
    <row r="2" spans="1:30" x14ac:dyDescent="0.3">
      <c r="A2" s="212" t="s">
        <v>74</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row>
    <row r="3" spans="1:30" x14ac:dyDescent="0.3">
      <c r="A3" s="212"/>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row>
    <row r="4" spans="1:30" ht="15.6" x14ac:dyDescent="0.3">
      <c r="A4" s="212" t="s">
        <v>43</v>
      </c>
      <c r="B4" s="212" t="s">
        <v>43</v>
      </c>
      <c r="C4" s="214">
        <v>1</v>
      </c>
      <c r="D4" s="212"/>
      <c r="E4" s="214">
        <v>2</v>
      </c>
      <c r="F4" s="212"/>
      <c r="G4" s="214">
        <v>3</v>
      </c>
      <c r="H4" s="212"/>
      <c r="I4" s="214">
        <v>4</v>
      </c>
      <c r="J4" s="212"/>
      <c r="K4" s="214">
        <v>5</v>
      </c>
      <c r="L4" s="212"/>
      <c r="M4" s="214">
        <v>6</v>
      </c>
      <c r="N4" s="212"/>
      <c r="O4" s="214">
        <v>7</v>
      </c>
      <c r="P4" s="212"/>
      <c r="Q4" s="214">
        <v>8</v>
      </c>
      <c r="R4" s="212"/>
      <c r="S4" s="214">
        <v>9</v>
      </c>
      <c r="T4" s="212"/>
      <c r="U4" s="214">
        <v>10</v>
      </c>
      <c r="V4" s="212"/>
      <c r="W4" s="214">
        <v>11</v>
      </c>
      <c r="X4" s="212"/>
      <c r="Y4" s="214">
        <v>12</v>
      </c>
      <c r="Z4" s="212"/>
      <c r="AA4" s="212" t="s">
        <v>65</v>
      </c>
      <c r="AB4" s="212"/>
    </row>
    <row r="5" spans="1:30" x14ac:dyDescent="0.3">
      <c r="A5" s="212" t="s">
        <v>43</v>
      </c>
      <c r="B5" s="212"/>
      <c r="C5" s="212" t="s">
        <v>67</v>
      </c>
      <c r="D5" s="212" t="s">
        <v>28</v>
      </c>
      <c r="E5" s="212" t="s">
        <v>67</v>
      </c>
      <c r="F5" s="212" t="s">
        <v>28</v>
      </c>
      <c r="G5" s="212" t="s">
        <v>67</v>
      </c>
      <c r="H5" s="212" t="s">
        <v>28</v>
      </c>
      <c r="I5" s="212" t="s">
        <v>67</v>
      </c>
      <c r="J5" s="212" t="s">
        <v>28</v>
      </c>
      <c r="K5" s="212" t="s">
        <v>67</v>
      </c>
      <c r="L5" s="212" t="s">
        <v>28</v>
      </c>
      <c r="M5" s="212" t="s">
        <v>67</v>
      </c>
      <c r="N5" s="212" t="s">
        <v>28</v>
      </c>
      <c r="O5" s="212" t="s">
        <v>67</v>
      </c>
      <c r="P5" s="212" t="s">
        <v>28</v>
      </c>
      <c r="Q5" s="212" t="s">
        <v>67</v>
      </c>
      <c r="R5" s="212" t="s">
        <v>28</v>
      </c>
      <c r="S5" s="212" t="s">
        <v>67</v>
      </c>
      <c r="T5" s="212" t="s">
        <v>28</v>
      </c>
      <c r="U5" s="212" t="s">
        <v>67</v>
      </c>
      <c r="V5" s="212" t="s">
        <v>28</v>
      </c>
      <c r="W5" s="212" t="s">
        <v>67</v>
      </c>
      <c r="X5" s="212" t="s">
        <v>28</v>
      </c>
      <c r="Y5" s="212" t="s">
        <v>67</v>
      </c>
      <c r="Z5" s="212" t="s">
        <v>28</v>
      </c>
      <c r="AA5" s="212" t="s">
        <v>67</v>
      </c>
      <c r="AB5" s="212" t="s">
        <v>28</v>
      </c>
    </row>
    <row r="6" spans="1:30" x14ac:dyDescent="0.3">
      <c r="A6" s="212" t="s">
        <v>54</v>
      </c>
      <c r="B6" s="212" t="s">
        <v>49</v>
      </c>
      <c r="C6" s="212">
        <v>59</v>
      </c>
      <c r="D6" s="212">
        <v>100</v>
      </c>
      <c r="E6" s="212">
        <v>14</v>
      </c>
      <c r="F6" s="212">
        <v>100</v>
      </c>
      <c r="G6" s="212">
        <v>227</v>
      </c>
      <c r="H6" s="212">
        <v>100</v>
      </c>
      <c r="I6" s="212">
        <v>510</v>
      </c>
      <c r="J6" s="212">
        <v>100</v>
      </c>
      <c r="K6" s="212">
        <v>606</v>
      </c>
      <c r="L6" s="212">
        <v>200</v>
      </c>
      <c r="M6" s="212">
        <v>305</v>
      </c>
      <c r="N6" s="212">
        <v>100</v>
      </c>
      <c r="O6" s="212">
        <v>334</v>
      </c>
      <c r="P6" s="212">
        <v>200</v>
      </c>
      <c r="Q6" s="212">
        <v>465</v>
      </c>
      <c r="R6" s="212">
        <v>100</v>
      </c>
      <c r="S6" s="212">
        <v>556</v>
      </c>
      <c r="T6" s="212">
        <v>100</v>
      </c>
      <c r="U6" s="212">
        <v>537</v>
      </c>
      <c r="V6" s="212">
        <v>100</v>
      </c>
      <c r="W6" s="212">
        <v>179</v>
      </c>
      <c r="X6" s="212">
        <v>100</v>
      </c>
      <c r="Y6" s="212">
        <v>200</v>
      </c>
      <c r="Z6" s="212">
        <v>100</v>
      </c>
      <c r="AA6" s="215">
        <v>3993</v>
      </c>
      <c r="AB6" s="212">
        <v>100</v>
      </c>
      <c r="AD6" s="195">
        <f>C6+E6+G6+I6+K6+M6+O6+Q6+S6+U6+W6+Y6</f>
        <v>3992</v>
      </c>
    </row>
    <row r="7" spans="1:30" x14ac:dyDescent="0.3">
      <c r="A7" s="212"/>
      <c r="B7" s="212" t="s">
        <v>63</v>
      </c>
      <c r="C7" s="212">
        <v>44</v>
      </c>
      <c r="D7" s="212">
        <v>74.576271186440678</v>
      </c>
      <c r="E7" s="212">
        <v>5</v>
      </c>
      <c r="F7" s="212">
        <v>35.714285714285715</v>
      </c>
      <c r="G7" s="212">
        <v>83</v>
      </c>
      <c r="H7" s="212">
        <v>36.563876651982383</v>
      </c>
      <c r="I7" s="212">
        <v>133</v>
      </c>
      <c r="J7" s="212">
        <v>26.078431372549023</v>
      </c>
      <c r="K7" s="212">
        <v>135</v>
      </c>
      <c r="L7" s="212">
        <v>22.277227722772277</v>
      </c>
      <c r="M7" s="212">
        <v>42</v>
      </c>
      <c r="N7" s="212">
        <v>13.77049180327869</v>
      </c>
      <c r="O7" s="212">
        <v>83</v>
      </c>
      <c r="P7" s="212">
        <v>24.850299401197603</v>
      </c>
      <c r="Q7" s="212">
        <v>122</v>
      </c>
      <c r="R7" s="212">
        <v>26.236559139784948</v>
      </c>
      <c r="S7" s="212">
        <v>140</v>
      </c>
      <c r="T7" s="212">
        <v>25.179856115107913</v>
      </c>
      <c r="U7" s="212">
        <v>114</v>
      </c>
      <c r="V7" s="212">
        <v>21.229050279329609</v>
      </c>
      <c r="W7" s="212">
        <v>33</v>
      </c>
      <c r="X7" s="212">
        <v>18.435754189944134</v>
      </c>
      <c r="Y7" s="212">
        <v>24</v>
      </c>
      <c r="Z7" s="212">
        <v>12</v>
      </c>
      <c r="AA7" s="212">
        <v>959</v>
      </c>
      <c r="AB7" s="212">
        <v>24.017029802153768</v>
      </c>
    </row>
    <row r="8" spans="1:30" s="195" customFormat="1" x14ac:dyDescent="0.3">
      <c r="A8" s="212"/>
      <c r="B8" s="212">
        <v>14</v>
      </c>
      <c r="C8" s="212">
        <v>0</v>
      </c>
      <c r="D8" s="212">
        <v>0</v>
      </c>
      <c r="E8" s="212">
        <v>0</v>
      </c>
      <c r="F8" s="212">
        <v>0</v>
      </c>
      <c r="G8" s="212">
        <v>0</v>
      </c>
      <c r="H8" s="212">
        <v>0</v>
      </c>
      <c r="I8" s="212">
        <v>0</v>
      </c>
      <c r="J8" s="212">
        <v>0</v>
      </c>
      <c r="K8" s="212">
        <v>0</v>
      </c>
      <c r="L8" s="212">
        <v>0</v>
      </c>
      <c r="M8" s="212">
        <v>0</v>
      </c>
      <c r="N8" s="212">
        <v>0</v>
      </c>
      <c r="O8" s="212">
        <v>0</v>
      </c>
      <c r="P8" s="212">
        <v>0</v>
      </c>
      <c r="Q8" s="212">
        <v>0</v>
      </c>
      <c r="R8" s="212">
        <v>0</v>
      </c>
      <c r="S8" s="212">
        <v>0</v>
      </c>
      <c r="T8" s="212">
        <v>0</v>
      </c>
      <c r="U8" s="212">
        <v>0</v>
      </c>
      <c r="V8" s="212">
        <v>0</v>
      </c>
      <c r="W8" s="212">
        <v>0</v>
      </c>
      <c r="X8" s="212">
        <v>0</v>
      </c>
      <c r="Y8" s="212">
        <v>0</v>
      </c>
      <c r="Z8" s="212">
        <v>0</v>
      </c>
      <c r="AA8" s="212">
        <v>0</v>
      </c>
      <c r="AB8" s="212">
        <v>0</v>
      </c>
    </row>
    <row r="9" spans="1:30" x14ac:dyDescent="0.3">
      <c r="A9" s="212"/>
      <c r="B9" s="212">
        <v>15</v>
      </c>
      <c r="C9" s="212">
        <v>12</v>
      </c>
      <c r="D9" s="212">
        <v>20.33898305084746</v>
      </c>
      <c r="E9" s="212">
        <v>3</v>
      </c>
      <c r="F9" s="212">
        <v>21.428571428571427</v>
      </c>
      <c r="G9" s="212">
        <v>65</v>
      </c>
      <c r="H9" s="212">
        <v>28.634361233480178</v>
      </c>
      <c r="I9" s="212">
        <v>183</v>
      </c>
      <c r="J9" s="212">
        <v>35.882352941176471</v>
      </c>
      <c r="K9" s="212">
        <v>176</v>
      </c>
      <c r="L9" s="212">
        <v>29.042904290429046</v>
      </c>
      <c r="M9" s="212">
        <v>61</v>
      </c>
      <c r="N9" s="212">
        <v>20</v>
      </c>
      <c r="O9" s="212">
        <v>84</v>
      </c>
      <c r="P9" s="212">
        <v>25.149700598802394</v>
      </c>
      <c r="Q9" s="212">
        <v>124</v>
      </c>
      <c r="R9" s="212">
        <v>26.666666666666668</v>
      </c>
      <c r="S9" s="212">
        <v>137</v>
      </c>
      <c r="T9" s="212">
        <v>24.640287769784173</v>
      </c>
      <c r="U9" s="212">
        <v>141</v>
      </c>
      <c r="V9" s="212">
        <v>26.256983240223462</v>
      </c>
      <c r="W9" s="212">
        <v>52</v>
      </c>
      <c r="X9" s="212">
        <v>29.050279329608941</v>
      </c>
      <c r="Y9" s="212">
        <v>72</v>
      </c>
      <c r="Z9" s="212">
        <v>36</v>
      </c>
      <c r="AA9" s="212">
        <v>1109</v>
      </c>
      <c r="AB9" s="212">
        <v>27.773603806661658</v>
      </c>
    </row>
    <row r="10" spans="1:30" x14ac:dyDescent="0.3">
      <c r="A10" s="212"/>
      <c r="B10" s="212">
        <v>16</v>
      </c>
      <c r="C10" s="212">
        <v>15</v>
      </c>
      <c r="D10" s="212">
        <v>25.423728813559322</v>
      </c>
      <c r="E10" s="212">
        <v>8</v>
      </c>
      <c r="F10" s="212">
        <v>57.142857142857139</v>
      </c>
      <c r="G10" s="212">
        <v>91</v>
      </c>
      <c r="H10" s="212">
        <v>40.08810572687225</v>
      </c>
      <c r="I10" s="212">
        <v>258</v>
      </c>
      <c r="J10" s="212">
        <v>50.588235294117645</v>
      </c>
      <c r="K10" s="212">
        <v>317</v>
      </c>
      <c r="L10" s="212">
        <v>52.310231023102304</v>
      </c>
      <c r="M10" s="212">
        <v>93</v>
      </c>
      <c r="N10" s="212">
        <v>30.491803278688522</v>
      </c>
      <c r="O10" s="212">
        <v>141</v>
      </c>
      <c r="P10" s="212">
        <v>42.215568862275447</v>
      </c>
      <c r="Q10" s="212">
        <v>200</v>
      </c>
      <c r="R10" s="212">
        <v>43.01075268817204</v>
      </c>
      <c r="S10" s="212">
        <v>248</v>
      </c>
      <c r="T10" s="212">
        <v>44.60431654676259</v>
      </c>
      <c r="U10" s="212">
        <v>228</v>
      </c>
      <c r="V10" s="212">
        <v>42.458100558659218</v>
      </c>
      <c r="W10" s="212">
        <v>94</v>
      </c>
      <c r="X10" s="212">
        <v>52.513966480446925</v>
      </c>
      <c r="Y10" s="212">
        <v>98</v>
      </c>
      <c r="Z10" s="212">
        <v>49</v>
      </c>
      <c r="AA10" s="215">
        <v>1792</v>
      </c>
      <c r="AB10" s="212">
        <v>44.878537440520908</v>
      </c>
    </row>
    <row r="11" spans="1:30" x14ac:dyDescent="0.3">
      <c r="A11" s="212"/>
      <c r="B11" s="212">
        <v>17</v>
      </c>
      <c r="C11" s="212">
        <v>15</v>
      </c>
      <c r="D11" s="212">
        <v>25.423728813559322</v>
      </c>
      <c r="E11" s="212">
        <v>8</v>
      </c>
      <c r="F11" s="212">
        <v>57.142857142857139</v>
      </c>
      <c r="G11" s="212">
        <v>126</v>
      </c>
      <c r="H11" s="212">
        <v>55.506607929515418</v>
      </c>
      <c r="I11" s="212">
        <v>321</v>
      </c>
      <c r="J11" s="212">
        <v>62.941176470588232</v>
      </c>
      <c r="K11" s="212">
        <v>400</v>
      </c>
      <c r="L11" s="212">
        <v>66.006600660065999</v>
      </c>
      <c r="M11" s="212">
        <v>168</v>
      </c>
      <c r="N11" s="212">
        <v>55.081967213114758</v>
      </c>
      <c r="O11" s="212">
        <v>177</v>
      </c>
      <c r="P11" s="212">
        <v>52.994011976047908</v>
      </c>
      <c r="Q11" s="212">
        <v>265</v>
      </c>
      <c r="R11" s="212">
        <v>56.98924731182796</v>
      </c>
      <c r="S11" s="212">
        <v>314</v>
      </c>
      <c r="T11" s="212">
        <v>56.474820143884898</v>
      </c>
      <c r="U11" s="212">
        <v>279</v>
      </c>
      <c r="V11" s="212">
        <v>51.955307262569825</v>
      </c>
      <c r="W11" s="212">
        <v>109</v>
      </c>
      <c r="X11" s="212">
        <v>60.893854748603346</v>
      </c>
      <c r="Y11" s="212">
        <v>140</v>
      </c>
      <c r="Z11" s="212">
        <v>70</v>
      </c>
      <c r="AA11" s="215">
        <v>2323</v>
      </c>
      <c r="AB11" s="212">
        <v>58.176809416478839</v>
      </c>
    </row>
    <row r="12" spans="1:30" x14ac:dyDescent="0.3">
      <c r="A12" s="212"/>
      <c r="B12" s="212">
        <v>18</v>
      </c>
      <c r="C12" s="212">
        <v>15</v>
      </c>
      <c r="D12" s="212">
        <v>25.423728813559322</v>
      </c>
      <c r="E12" s="212">
        <v>8</v>
      </c>
      <c r="F12" s="212">
        <v>57.142857142857139</v>
      </c>
      <c r="G12" s="212">
        <v>144</v>
      </c>
      <c r="H12" s="212">
        <v>63.436123348017624</v>
      </c>
      <c r="I12" s="212">
        <v>339</v>
      </c>
      <c r="J12" s="212">
        <v>66.470588235294116</v>
      </c>
      <c r="K12" s="212">
        <v>418</v>
      </c>
      <c r="L12" s="212">
        <v>68.976897689768975</v>
      </c>
      <c r="M12" s="212">
        <v>196</v>
      </c>
      <c r="N12" s="212">
        <v>64.26229508196721</v>
      </c>
      <c r="O12" s="212">
        <v>211</v>
      </c>
      <c r="P12" s="212">
        <v>63.17365269461078</v>
      </c>
      <c r="Q12" s="212">
        <v>301</v>
      </c>
      <c r="R12" s="212">
        <v>64.731182795698928</v>
      </c>
      <c r="S12" s="212">
        <v>360</v>
      </c>
      <c r="T12" s="212">
        <v>64.748201438848923</v>
      </c>
      <c r="U12" s="212">
        <v>346</v>
      </c>
      <c r="V12" s="212">
        <v>64.432029795158286</v>
      </c>
      <c r="W12" s="212">
        <v>127</v>
      </c>
      <c r="X12" s="212">
        <v>70.949720670391059</v>
      </c>
      <c r="Y12" s="212">
        <v>144</v>
      </c>
      <c r="Z12" s="212">
        <v>72</v>
      </c>
      <c r="AA12" s="215">
        <v>2610</v>
      </c>
      <c r="AB12" s="212">
        <v>65.364387678437268</v>
      </c>
    </row>
    <row r="13" spans="1:30" x14ac:dyDescent="0.3">
      <c r="A13" s="212"/>
      <c r="B13" s="216">
        <v>19</v>
      </c>
      <c r="C13" s="216">
        <v>15</v>
      </c>
      <c r="D13" s="216">
        <v>25.423728813559322</v>
      </c>
      <c r="E13" s="216">
        <v>8</v>
      </c>
      <c r="F13" s="216">
        <v>57.142857142857139</v>
      </c>
      <c r="G13" s="216">
        <v>144</v>
      </c>
      <c r="H13" s="216">
        <v>63.436123348017624</v>
      </c>
      <c r="I13" s="216">
        <v>361</v>
      </c>
      <c r="J13" s="216">
        <v>70.784313725490193</v>
      </c>
      <c r="K13" s="216">
        <v>438</v>
      </c>
      <c r="L13" s="216">
        <v>72.277227722772281</v>
      </c>
      <c r="M13" s="216">
        <v>217</v>
      </c>
      <c r="N13" s="216">
        <v>71.147540983606561</v>
      </c>
      <c r="O13" s="216">
        <v>232</v>
      </c>
      <c r="P13" s="216">
        <v>69.461077844311376</v>
      </c>
      <c r="Q13" s="216">
        <v>317</v>
      </c>
      <c r="R13" s="216">
        <v>68.172043010752688</v>
      </c>
      <c r="S13" s="216">
        <v>382</v>
      </c>
      <c r="T13" s="216">
        <v>68.705035971223012</v>
      </c>
      <c r="U13" s="216">
        <v>371</v>
      </c>
      <c r="V13" s="216">
        <v>69.087523277467412</v>
      </c>
      <c r="W13" s="216">
        <v>137</v>
      </c>
      <c r="X13" s="216">
        <v>76.536312849162016</v>
      </c>
      <c r="Y13" s="216">
        <v>154</v>
      </c>
      <c r="Z13" s="216">
        <v>77</v>
      </c>
      <c r="AA13" s="217">
        <v>2776</v>
      </c>
      <c r="AB13" s="216">
        <v>69.521662910092658</v>
      </c>
    </row>
    <row r="14" spans="1:30" x14ac:dyDescent="0.3">
      <c r="A14" s="212"/>
      <c r="B14" s="212">
        <v>20</v>
      </c>
      <c r="C14" s="212">
        <v>15</v>
      </c>
      <c r="D14" s="212">
        <v>25.423728813559322</v>
      </c>
      <c r="E14" s="212">
        <v>8</v>
      </c>
      <c r="F14" s="212">
        <v>57.142857142857139</v>
      </c>
      <c r="G14" s="212">
        <v>144</v>
      </c>
      <c r="H14" s="212">
        <v>63.436123348017624</v>
      </c>
      <c r="I14" s="212">
        <v>368</v>
      </c>
      <c r="J14" s="212">
        <v>72.156862745098039</v>
      </c>
      <c r="K14" s="212">
        <v>451</v>
      </c>
      <c r="L14" s="212">
        <v>74.422442244224413</v>
      </c>
      <c r="M14" s="212">
        <v>249</v>
      </c>
      <c r="N14" s="212">
        <v>81.639344262295083</v>
      </c>
      <c r="O14" s="212">
        <v>244</v>
      </c>
      <c r="P14" s="212">
        <v>73.053892215568865</v>
      </c>
      <c r="Q14" s="212">
        <v>328</v>
      </c>
      <c r="R14" s="212">
        <v>70.537634408602145</v>
      </c>
      <c r="S14" s="212">
        <v>402</v>
      </c>
      <c r="T14" s="212">
        <v>72.302158273381295</v>
      </c>
      <c r="U14" s="212">
        <v>401</v>
      </c>
      <c r="V14" s="212">
        <v>74.674115456238368</v>
      </c>
      <c r="W14" s="212">
        <v>137</v>
      </c>
      <c r="X14" s="212">
        <v>76.536312849162016</v>
      </c>
      <c r="Y14" s="212">
        <v>160</v>
      </c>
      <c r="Z14" s="212">
        <v>80</v>
      </c>
      <c r="AA14" s="212">
        <v>2906</v>
      </c>
      <c r="AB14" s="212">
        <v>72.777360380666167</v>
      </c>
    </row>
    <row r="18" spans="1:21" x14ac:dyDescent="0.3">
      <c r="C18" s="196" t="s">
        <v>93</v>
      </c>
      <c r="E18" s="193" t="s">
        <v>94</v>
      </c>
      <c r="G18" s="193" t="s">
        <v>4</v>
      </c>
      <c r="I18" s="193" t="s">
        <v>95</v>
      </c>
      <c r="K18" s="193" t="s">
        <v>96</v>
      </c>
      <c r="M18" s="193" t="s">
        <v>7</v>
      </c>
      <c r="O18" s="193" t="s">
        <v>8</v>
      </c>
      <c r="Q18" s="195" t="s">
        <v>113</v>
      </c>
      <c r="S18" s="193"/>
      <c r="U18" s="193"/>
    </row>
    <row r="19" spans="1:21" x14ac:dyDescent="0.3">
      <c r="C19" s="36" t="s">
        <v>67</v>
      </c>
      <c r="D19" s="36" t="s">
        <v>28</v>
      </c>
      <c r="E19" s="36" t="s">
        <v>67</v>
      </c>
      <c r="F19" s="36" t="s">
        <v>28</v>
      </c>
      <c r="G19" s="36" t="s">
        <v>67</v>
      </c>
      <c r="H19" s="36" t="s">
        <v>28</v>
      </c>
      <c r="I19" s="36" t="s">
        <v>67</v>
      </c>
      <c r="J19" s="36" t="s">
        <v>28</v>
      </c>
      <c r="K19" s="36" t="s">
        <v>67</v>
      </c>
      <c r="L19" s="36" t="s">
        <v>28</v>
      </c>
      <c r="M19" s="36" t="s">
        <v>67</v>
      </c>
      <c r="N19" s="36" t="s">
        <v>28</v>
      </c>
      <c r="O19" s="36" t="s">
        <v>67</v>
      </c>
      <c r="P19" s="36" t="s">
        <v>28</v>
      </c>
      <c r="Q19" s="36" t="s">
        <v>67</v>
      </c>
      <c r="R19" s="36" t="s">
        <v>28</v>
      </c>
    </row>
    <row r="20" spans="1:21" x14ac:dyDescent="0.3">
      <c r="B20" s="195" t="s">
        <v>49</v>
      </c>
      <c r="C20">
        <f>C6+E6+G6</f>
        <v>300</v>
      </c>
      <c r="D20">
        <v>100</v>
      </c>
      <c r="E20" s="195">
        <f>I6</f>
        <v>510</v>
      </c>
      <c r="F20" s="195">
        <v>100</v>
      </c>
      <c r="G20" s="195">
        <f>K6</f>
        <v>606</v>
      </c>
      <c r="H20" s="195">
        <v>100</v>
      </c>
      <c r="I20" s="195">
        <f>M6</f>
        <v>305</v>
      </c>
      <c r="J20" s="195">
        <v>100</v>
      </c>
      <c r="K20" s="195">
        <f>O6</f>
        <v>334</v>
      </c>
      <c r="L20" s="195">
        <v>43.4</v>
      </c>
      <c r="M20" s="195">
        <f>Q6</f>
        <v>465</v>
      </c>
      <c r="N20" s="195">
        <v>100</v>
      </c>
      <c r="O20" s="195">
        <f>S6</f>
        <v>556</v>
      </c>
      <c r="P20" s="195">
        <v>100</v>
      </c>
      <c r="Q20">
        <f>U6+W6+Y6</f>
        <v>916</v>
      </c>
      <c r="R20">
        <v>100</v>
      </c>
      <c r="S20" s="195" t="s">
        <v>49</v>
      </c>
    </row>
    <row r="21" spans="1:21" x14ac:dyDescent="0.3">
      <c r="A21" s="195"/>
      <c r="B21" s="195" t="s">
        <v>63</v>
      </c>
      <c r="C21" s="195">
        <f t="shared" ref="C21:C28" si="0">C7+E7+G7</f>
        <v>132</v>
      </c>
      <c r="D21" s="197">
        <f>(C21/C$20)*100</f>
        <v>44</v>
      </c>
      <c r="E21" s="195">
        <f t="shared" ref="E21:O28" si="1">I7</f>
        <v>133</v>
      </c>
      <c r="F21" s="197">
        <f>(E21/E$20)*100</f>
        <v>26.078431372549023</v>
      </c>
      <c r="G21" s="195">
        <f t="shared" si="1"/>
        <v>135</v>
      </c>
      <c r="H21" s="197">
        <f t="shared" ref="H21:H28" si="2">(G21/G$20)*100</f>
        <v>22.277227722772277</v>
      </c>
      <c r="I21" s="195">
        <f t="shared" si="1"/>
        <v>42</v>
      </c>
      <c r="J21" s="197">
        <f t="shared" ref="J21:J28" si="3">(I21/I$20)*100</f>
        <v>13.77049180327869</v>
      </c>
      <c r="K21" s="195">
        <f t="shared" si="1"/>
        <v>83</v>
      </c>
      <c r="L21" s="197">
        <f t="shared" ref="L21:L28" si="4">(K21/K$20)*100</f>
        <v>24.850299401197603</v>
      </c>
      <c r="M21" s="195">
        <f t="shared" si="1"/>
        <v>122</v>
      </c>
      <c r="N21" s="197">
        <f t="shared" ref="N21:N28" si="5">(M21/M$20)*100</f>
        <v>26.236559139784948</v>
      </c>
      <c r="O21" s="195">
        <f t="shared" si="1"/>
        <v>140</v>
      </c>
      <c r="P21" s="197">
        <f t="shared" ref="P21:P28" si="6">(O21/O$20)*100</f>
        <v>25.179856115107913</v>
      </c>
      <c r="Q21" s="195">
        <f>U7+W7+Y7</f>
        <v>171</v>
      </c>
      <c r="R21" s="197">
        <f t="shared" ref="R21:R28" si="7">(Q21/Q$20)*100</f>
        <v>18.668122270742359</v>
      </c>
      <c r="S21" s="195" t="s">
        <v>63</v>
      </c>
    </row>
    <row r="22" spans="1:21" s="195" customFormat="1" x14ac:dyDescent="0.3">
      <c r="B22" s="195">
        <v>14</v>
      </c>
      <c r="C22" s="195">
        <f t="shared" si="0"/>
        <v>0</v>
      </c>
      <c r="D22" s="197">
        <f t="shared" ref="D22:F28" si="8">(C22/C$20)*100</f>
        <v>0</v>
      </c>
      <c r="E22" s="195">
        <f t="shared" si="1"/>
        <v>0</v>
      </c>
      <c r="F22" s="197">
        <f t="shared" si="8"/>
        <v>0</v>
      </c>
      <c r="G22" s="195">
        <f t="shared" si="1"/>
        <v>0</v>
      </c>
      <c r="H22" s="197">
        <f t="shared" si="2"/>
        <v>0</v>
      </c>
      <c r="I22" s="195">
        <f t="shared" si="1"/>
        <v>0</v>
      </c>
      <c r="J22" s="197">
        <f t="shared" si="3"/>
        <v>0</v>
      </c>
      <c r="K22" s="195">
        <f t="shared" si="1"/>
        <v>0</v>
      </c>
      <c r="L22" s="197">
        <f t="shared" si="4"/>
        <v>0</v>
      </c>
      <c r="M22" s="195">
        <f t="shared" si="1"/>
        <v>0</v>
      </c>
      <c r="N22" s="197">
        <f t="shared" si="5"/>
        <v>0</v>
      </c>
      <c r="O22" s="195">
        <f t="shared" si="1"/>
        <v>0</v>
      </c>
      <c r="P22" s="197">
        <f t="shared" si="6"/>
        <v>0</v>
      </c>
      <c r="Q22" s="195">
        <f t="shared" ref="Q22:Q28" si="9">U8+W8+Y8</f>
        <v>0</v>
      </c>
      <c r="R22" s="197">
        <f t="shared" si="7"/>
        <v>0</v>
      </c>
      <c r="S22" s="195">
        <v>14</v>
      </c>
    </row>
    <row r="23" spans="1:21" x14ac:dyDescent="0.3">
      <c r="A23" s="195"/>
      <c r="B23" s="195">
        <v>15</v>
      </c>
      <c r="C23" s="195">
        <f t="shared" si="0"/>
        <v>80</v>
      </c>
      <c r="D23" s="197">
        <f t="shared" si="8"/>
        <v>26.666666666666668</v>
      </c>
      <c r="E23" s="195">
        <f t="shared" si="1"/>
        <v>183</v>
      </c>
      <c r="F23" s="197">
        <f t="shared" si="8"/>
        <v>35.882352941176471</v>
      </c>
      <c r="G23" s="195">
        <f t="shared" si="1"/>
        <v>176</v>
      </c>
      <c r="H23" s="197">
        <f t="shared" si="2"/>
        <v>29.042904290429046</v>
      </c>
      <c r="I23" s="195">
        <f t="shared" si="1"/>
        <v>61</v>
      </c>
      <c r="J23" s="197">
        <f t="shared" si="3"/>
        <v>20</v>
      </c>
      <c r="K23" s="195">
        <f t="shared" si="1"/>
        <v>84</v>
      </c>
      <c r="L23" s="197">
        <f t="shared" si="4"/>
        <v>25.149700598802394</v>
      </c>
      <c r="M23" s="195">
        <f t="shared" si="1"/>
        <v>124</v>
      </c>
      <c r="N23" s="197">
        <f t="shared" si="5"/>
        <v>26.666666666666668</v>
      </c>
      <c r="O23" s="195">
        <f t="shared" si="1"/>
        <v>137</v>
      </c>
      <c r="P23" s="197">
        <f t="shared" si="6"/>
        <v>24.640287769784173</v>
      </c>
      <c r="Q23" s="195">
        <f>U9+W9+Y9</f>
        <v>265</v>
      </c>
      <c r="R23" s="197">
        <f t="shared" si="7"/>
        <v>28.93013100436681</v>
      </c>
      <c r="S23" s="195">
        <v>15</v>
      </c>
    </row>
    <row r="24" spans="1:21" x14ac:dyDescent="0.3">
      <c r="A24" s="195"/>
      <c r="B24" s="195">
        <v>16</v>
      </c>
      <c r="C24" s="195">
        <f t="shared" si="0"/>
        <v>114</v>
      </c>
      <c r="D24" s="197">
        <f t="shared" si="8"/>
        <v>38</v>
      </c>
      <c r="E24" s="195">
        <f t="shared" si="1"/>
        <v>258</v>
      </c>
      <c r="F24" s="197">
        <f t="shared" si="8"/>
        <v>50.588235294117645</v>
      </c>
      <c r="G24" s="195">
        <f t="shared" si="1"/>
        <v>317</v>
      </c>
      <c r="H24" s="197">
        <f t="shared" si="2"/>
        <v>52.310231023102304</v>
      </c>
      <c r="I24" s="195">
        <f t="shared" si="1"/>
        <v>93</v>
      </c>
      <c r="J24" s="197">
        <f t="shared" si="3"/>
        <v>30.491803278688522</v>
      </c>
      <c r="K24" s="195">
        <f t="shared" si="1"/>
        <v>141</v>
      </c>
      <c r="L24" s="197">
        <f t="shared" si="4"/>
        <v>42.215568862275447</v>
      </c>
      <c r="M24" s="195">
        <f t="shared" si="1"/>
        <v>200</v>
      </c>
      <c r="N24" s="197">
        <f t="shared" si="5"/>
        <v>43.01075268817204</v>
      </c>
      <c r="O24" s="195">
        <f t="shared" si="1"/>
        <v>248</v>
      </c>
      <c r="P24" s="197">
        <f t="shared" si="6"/>
        <v>44.60431654676259</v>
      </c>
      <c r="Q24" s="195">
        <f t="shared" si="9"/>
        <v>420</v>
      </c>
      <c r="R24" s="197">
        <f t="shared" si="7"/>
        <v>45.851528384279476</v>
      </c>
      <c r="S24" s="195">
        <v>16</v>
      </c>
    </row>
    <row r="25" spans="1:21" x14ac:dyDescent="0.3">
      <c r="A25" s="195"/>
      <c r="B25" s="195">
        <v>17</v>
      </c>
      <c r="C25" s="195">
        <f t="shared" si="0"/>
        <v>149</v>
      </c>
      <c r="D25" s="197">
        <f t="shared" si="8"/>
        <v>49.666666666666664</v>
      </c>
      <c r="E25" s="195">
        <f t="shared" si="1"/>
        <v>321</v>
      </c>
      <c r="F25" s="197">
        <f t="shared" si="8"/>
        <v>62.941176470588232</v>
      </c>
      <c r="G25" s="195">
        <f t="shared" si="1"/>
        <v>400</v>
      </c>
      <c r="H25" s="197">
        <f t="shared" si="2"/>
        <v>66.006600660065999</v>
      </c>
      <c r="I25" s="195">
        <f t="shared" si="1"/>
        <v>168</v>
      </c>
      <c r="J25" s="197">
        <f t="shared" si="3"/>
        <v>55.081967213114758</v>
      </c>
      <c r="K25" s="195">
        <f t="shared" si="1"/>
        <v>177</v>
      </c>
      <c r="L25" s="197">
        <f t="shared" si="4"/>
        <v>52.994011976047908</v>
      </c>
      <c r="M25" s="195">
        <f t="shared" si="1"/>
        <v>265</v>
      </c>
      <c r="N25" s="197">
        <f t="shared" si="5"/>
        <v>56.98924731182796</v>
      </c>
      <c r="O25" s="195">
        <f t="shared" si="1"/>
        <v>314</v>
      </c>
      <c r="P25" s="197">
        <f t="shared" si="6"/>
        <v>56.474820143884898</v>
      </c>
      <c r="Q25" s="195">
        <f t="shared" si="9"/>
        <v>528</v>
      </c>
      <c r="R25" s="197">
        <f t="shared" si="7"/>
        <v>57.641921397379917</v>
      </c>
      <c r="S25" s="195">
        <v>17</v>
      </c>
    </row>
    <row r="26" spans="1:21" x14ac:dyDescent="0.3">
      <c r="A26" s="195"/>
      <c r="B26" s="195">
        <v>18</v>
      </c>
      <c r="C26" s="195">
        <f t="shared" si="0"/>
        <v>167</v>
      </c>
      <c r="D26" s="197">
        <f t="shared" si="8"/>
        <v>55.666666666666664</v>
      </c>
      <c r="E26" s="195">
        <f t="shared" si="1"/>
        <v>339</v>
      </c>
      <c r="F26" s="197">
        <f t="shared" si="8"/>
        <v>66.470588235294116</v>
      </c>
      <c r="G26" s="195">
        <f t="shared" si="1"/>
        <v>418</v>
      </c>
      <c r="H26" s="197">
        <f t="shared" si="2"/>
        <v>68.976897689768975</v>
      </c>
      <c r="I26" s="195">
        <f t="shared" si="1"/>
        <v>196</v>
      </c>
      <c r="J26" s="197">
        <f t="shared" si="3"/>
        <v>64.26229508196721</v>
      </c>
      <c r="K26" s="195">
        <f t="shared" si="1"/>
        <v>211</v>
      </c>
      <c r="L26" s="197">
        <f t="shared" si="4"/>
        <v>63.17365269461078</v>
      </c>
      <c r="M26" s="195">
        <f t="shared" si="1"/>
        <v>301</v>
      </c>
      <c r="N26" s="197">
        <f t="shared" si="5"/>
        <v>64.731182795698928</v>
      </c>
      <c r="O26" s="195">
        <f t="shared" si="1"/>
        <v>360</v>
      </c>
      <c r="P26" s="197">
        <f t="shared" si="6"/>
        <v>64.748201438848923</v>
      </c>
      <c r="Q26" s="195">
        <f t="shared" si="9"/>
        <v>617</v>
      </c>
      <c r="R26" s="197">
        <f t="shared" si="7"/>
        <v>67.358078602620083</v>
      </c>
      <c r="S26" s="195">
        <v>18</v>
      </c>
    </row>
    <row r="27" spans="1:21" x14ac:dyDescent="0.3">
      <c r="A27" s="195"/>
      <c r="B27" s="195">
        <v>19</v>
      </c>
      <c r="C27" s="195">
        <f t="shared" si="0"/>
        <v>167</v>
      </c>
      <c r="D27" s="197">
        <f t="shared" si="8"/>
        <v>55.666666666666664</v>
      </c>
      <c r="E27" s="195">
        <f t="shared" si="1"/>
        <v>361</v>
      </c>
      <c r="F27" s="197">
        <f t="shared" si="8"/>
        <v>70.784313725490193</v>
      </c>
      <c r="G27" s="195">
        <f t="shared" si="1"/>
        <v>438</v>
      </c>
      <c r="H27" s="197">
        <f t="shared" si="2"/>
        <v>72.277227722772281</v>
      </c>
      <c r="I27" s="195">
        <f t="shared" si="1"/>
        <v>217</v>
      </c>
      <c r="J27" s="197">
        <f t="shared" si="3"/>
        <v>71.147540983606561</v>
      </c>
      <c r="K27" s="195">
        <f t="shared" si="1"/>
        <v>232</v>
      </c>
      <c r="L27" s="197">
        <f t="shared" si="4"/>
        <v>69.461077844311376</v>
      </c>
      <c r="M27" s="195">
        <f t="shared" si="1"/>
        <v>317</v>
      </c>
      <c r="N27" s="197">
        <f t="shared" si="5"/>
        <v>68.172043010752688</v>
      </c>
      <c r="O27" s="195">
        <f t="shared" si="1"/>
        <v>382</v>
      </c>
      <c r="P27" s="197">
        <f t="shared" si="6"/>
        <v>68.705035971223012</v>
      </c>
      <c r="Q27" s="195">
        <f t="shared" si="9"/>
        <v>662</v>
      </c>
      <c r="R27" s="197">
        <f t="shared" si="7"/>
        <v>72.270742358078593</v>
      </c>
      <c r="S27" s="195">
        <v>19</v>
      </c>
    </row>
    <row r="28" spans="1:21" x14ac:dyDescent="0.3">
      <c r="A28" s="195"/>
      <c r="B28" s="195">
        <v>20</v>
      </c>
      <c r="C28" s="195">
        <f t="shared" si="0"/>
        <v>167</v>
      </c>
      <c r="D28" s="197">
        <f t="shared" si="8"/>
        <v>55.666666666666664</v>
      </c>
      <c r="E28" s="195">
        <f t="shared" si="1"/>
        <v>368</v>
      </c>
      <c r="F28" s="197">
        <f t="shared" si="8"/>
        <v>72.156862745098039</v>
      </c>
      <c r="G28" s="195">
        <f t="shared" si="1"/>
        <v>451</v>
      </c>
      <c r="H28" s="197">
        <f t="shared" si="2"/>
        <v>74.422442244224413</v>
      </c>
      <c r="I28" s="195">
        <f t="shared" si="1"/>
        <v>249</v>
      </c>
      <c r="J28" s="197">
        <f t="shared" si="3"/>
        <v>81.639344262295083</v>
      </c>
      <c r="K28" s="195">
        <f t="shared" si="1"/>
        <v>244</v>
      </c>
      <c r="L28" s="197">
        <f t="shared" si="4"/>
        <v>73.053892215568865</v>
      </c>
      <c r="M28" s="195">
        <f t="shared" si="1"/>
        <v>328</v>
      </c>
      <c r="N28" s="197">
        <f t="shared" si="5"/>
        <v>70.537634408602145</v>
      </c>
      <c r="O28" s="195">
        <f t="shared" si="1"/>
        <v>402</v>
      </c>
      <c r="P28" s="197">
        <f t="shared" si="6"/>
        <v>72.302158273381295</v>
      </c>
      <c r="Q28" s="195">
        <f t="shared" si="9"/>
        <v>698</v>
      </c>
      <c r="R28" s="197">
        <f t="shared" si="7"/>
        <v>76.200873362445407</v>
      </c>
      <c r="S28" s="195">
        <v>20</v>
      </c>
    </row>
    <row r="29" spans="1:21" x14ac:dyDescent="0.3">
      <c r="B29" s="195"/>
      <c r="C29" s="195"/>
      <c r="D29" s="197"/>
      <c r="E29" s="195"/>
      <c r="F29" s="195"/>
      <c r="G29" s="195"/>
      <c r="H29" s="195"/>
      <c r="I29" s="195"/>
      <c r="J29" s="195"/>
      <c r="K29" s="195"/>
      <c r="L29" s="195"/>
      <c r="M29" s="195"/>
      <c r="N29" s="195"/>
      <c r="O29" s="195"/>
      <c r="P29" s="195"/>
      <c r="Q29" s="195"/>
      <c r="R29" s="195"/>
    </row>
    <row r="30" spans="1:21" x14ac:dyDescent="0.3">
      <c r="B30" s="195"/>
      <c r="C30" s="195"/>
      <c r="D30" s="197"/>
      <c r="E30" s="195"/>
      <c r="F30" s="195"/>
      <c r="G30" s="195"/>
      <c r="H30" s="195"/>
      <c r="I30" s="195"/>
      <c r="J30" s="195"/>
      <c r="K30" s="195"/>
      <c r="L30" s="195"/>
      <c r="M30" s="195"/>
      <c r="N30" s="195"/>
      <c r="O30" s="195"/>
      <c r="P30" s="195"/>
      <c r="Q30" s="195"/>
      <c r="R30" s="195"/>
    </row>
    <row r="31" spans="1:21" x14ac:dyDescent="0.3">
      <c r="B31" s="195"/>
      <c r="C31" s="195"/>
      <c r="D31" s="197"/>
      <c r="E31" s="195"/>
      <c r="F31" s="195"/>
      <c r="G31" s="195"/>
      <c r="H31" s="195"/>
      <c r="I31" s="195"/>
      <c r="J31" s="195"/>
      <c r="K31" s="195"/>
      <c r="L31" s="195"/>
      <c r="M31" s="195"/>
      <c r="N31" s="195"/>
      <c r="O31" s="195"/>
      <c r="P31" s="195"/>
      <c r="Q31" s="195"/>
      <c r="R31" s="195"/>
    </row>
    <row r="32" spans="1:21" x14ac:dyDescent="0.3">
      <c r="B32" s="195"/>
      <c r="C32" s="195"/>
      <c r="D32" s="197"/>
      <c r="E32" s="195"/>
      <c r="F32" s="195"/>
      <c r="G32" s="195"/>
      <c r="H32" s="195"/>
      <c r="I32" s="195"/>
      <c r="J32" s="195"/>
      <c r="K32" s="195"/>
      <c r="L32" s="195"/>
      <c r="M32" s="195"/>
      <c r="N32" s="195"/>
      <c r="O32" s="195"/>
      <c r="P32" s="195"/>
      <c r="Q32" s="195"/>
      <c r="R32" s="195"/>
    </row>
    <row r="33" spans="1:30" x14ac:dyDescent="0.3">
      <c r="B33" s="195"/>
      <c r="C33" s="195"/>
      <c r="D33" s="197"/>
      <c r="E33" s="195"/>
      <c r="F33" s="195"/>
      <c r="G33" s="195"/>
      <c r="H33" s="195"/>
      <c r="I33" s="195"/>
      <c r="J33" s="195"/>
      <c r="K33" s="195"/>
      <c r="L33" s="195"/>
      <c r="M33" s="195"/>
      <c r="N33" s="195"/>
      <c r="O33" s="195"/>
      <c r="P33" s="195"/>
      <c r="Q33" s="195"/>
      <c r="R33" s="195"/>
    </row>
    <row r="34" spans="1:30" x14ac:dyDescent="0.3">
      <c r="B34" s="213" t="s">
        <v>16</v>
      </c>
      <c r="C34" s="213"/>
      <c r="D34" s="213"/>
      <c r="E34" s="213"/>
      <c r="F34" s="213"/>
      <c r="G34" s="213"/>
      <c r="H34" s="213"/>
      <c r="I34" s="213"/>
      <c r="J34" s="213"/>
      <c r="K34" s="213"/>
      <c r="L34" s="213"/>
      <c r="M34" s="213"/>
      <c r="N34" s="213"/>
    </row>
    <row r="35" spans="1:30" x14ac:dyDescent="0.3">
      <c r="B35" s="195" t="s">
        <v>49</v>
      </c>
      <c r="C35" s="195">
        <v>1</v>
      </c>
      <c r="D35" s="195">
        <v>2</v>
      </c>
      <c r="E35" s="195">
        <v>3</v>
      </c>
      <c r="F35" s="195">
        <v>4</v>
      </c>
      <c r="G35" s="195">
        <v>5</v>
      </c>
      <c r="H35" s="195">
        <v>6</v>
      </c>
      <c r="I35" s="195">
        <v>7</v>
      </c>
      <c r="J35" s="195">
        <v>8</v>
      </c>
      <c r="K35" s="195">
        <v>9</v>
      </c>
      <c r="L35" s="195">
        <v>10</v>
      </c>
      <c r="M35" s="195">
        <v>11</v>
      </c>
      <c r="N35" s="195">
        <v>12</v>
      </c>
      <c r="Q35" s="195"/>
    </row>
    <row r="36" spans="1:30" x14ac:dyDescent="0.3">
      <c r="B36" s="195" t="s">
        <v>63</v>
      </c>
      <c r="C36" s="197">
        <f>D21</f>
        <v>44</v>
      </c>
      <c r="D36" s="197">
        <f>D21</f>
        <v>44</v>
      </c>
      <c r="E36" s="197">
        <f>D21</f>
        <v>44</v>
      </c>
      <c r="F36" s="197">
        <f>F21</f>
        <v>26.078431372549023</v>
      </c>
      <c r="G36" s="197">
        <f>H21</f>
        <v>22.277227722772277</v>
      </c>
      <c r="H36" s="197">
        <f>J21</f>
        <v>13.77049180327869</v>
      </c>
      <c r="I36" s="197">
        <f>L21</f>
        <v>24.850299401197603</v>
      </c>
      <c r="J36" s="197">
        <f>N21</f>
        <v>26.236559139784948</v>
      </c>
      <c r="K36" s="197">
        <f>P21</f>
        <v>25.179856115107913</v>
      </c>
      <c r="L36" s="197">
        <f>R21</f>
        <v>18.668122270742359</v>
      </c>
      <c r="M36" s="197">
        <f>R21</f>
        <v>18.668122270742359</v>
      </c>
      <c r="N36" s="197">
        <f>R21</f>
        <v>18.668122270742359</v>
      </c>
    </row>
    <row r="37" spans="1:30" x14ac:dyDescent="0.3">
      <c r="B37">
        <v>14</v>
      </c>
      <c r="C37" s="197">
        <f t="shared" ref="C37:C43" si="10">D22</f>
        <v>0</v>
      </c>
      <c r="D37" s="197">
        <f t="shared" ref="D37:D43" si="11">D22</f>
        <v>0</v>
      </c>
      <c r="E37" s="197">
        <f t="shared" ref="E37:E43" si="12">D22</f>
        <v>0</v>
      </c>
      <c r="F37" s="197">
        <f t="shared" ref="F37:F43" si="13">F22</f>
        <v>0</v>
      </c>
      <c r="G37" s="197">
        <f t="shared" ref="G37:G43" si="14">H22</f>
        <v>0</v>
      </c>
      <c r="H37" s="197">
        <f t="shared" ref="H37:H43" si="15">J22</f>
        <v>0</v>
      </c>
      <c r="I37" s="197">
        <f t="shared" ref="I37:I43" si="16">L22</f>
        <v>0</v>
      </c>
      <c r="J37" s="197">
        <f t="shared" ref="J37:J43" si="17">N22</f>
        <v>0</v>
      </c>
      <c r="K37" s="197">
        <f t="shared" ref="K37:K43" si="18">P22</f>
        <v>0</v>
      </c>
      <c r="L37" s="197">
        <f t="shared" ref="L37:L43" si="19">R22</f>
        <v>0</v>
      </c>
      <c r="M37" s="197">
        <f t="shared" ref="M37:M43" si="20">R22</f>
        <v>0</v>
      </c>
      <c r="N37" s="197">
        <f t="shared" ref="N37:N43" si="21">R22</f>
        <v>0</v>
      </c>
    </row>
    <row r="38" spans="1:30" x14ac:dyDescent="0.3">
      <c r="B38" s="195">
        <v>15</v>
      </c>
      <c r="C38" s="197">
        <f t="shared" si="10"/>
        <v>26.666666666666668</v>
      </c>
      <c r="D38" s="197">
        <f t="shared" si="11"/>
        <v>26.666666666666668</v>
      </c>
      <c r="E38" s="197">
        <f t="shared" si="12"/>
        <v>26.666666666666668</v>
      </c>
      <c r="F38" s="197">
        <f t="shared" si="13"/>
        <v>35.882352941176471</v>
      </c>
      <c r="G38" s="197">
        <f t="shared" si="14"/>
        <v>29.042904290429046</v>
      </c>
      <c r="H38" s="197">
        <f t="shared" si="15"/>
        <v>20</v>
      </c>
      <c r="I38" s="197">
        <f t="shared" si="16"/>
        <v>25.149700598802394</v>
      </c>
      <c r="J38" s="197">
        <f t="shared" si="17"/>
        <v>26.666666666666668</v>
      </c>
      <c r="K38" s="197">
        <f t="shared" si="18"/>
        <v>24.640287769784173</v>
      </c>
      <c r="L38" s="197">
        <f t="shared" si="19"/>
        <v>28.93013100436681</v>
      </c>
      <c r="M38" s="197">
        <f t="shared" si="20"/>
        <v>28.93013100436681</v>
      </c>
      <c r="N38" s="197">
        <f t="shared" si="21"/>
        <v>28.93013100436681</v>
      </c>
    </row>
    <row r="39" spans="1:30" x14ac:dyDescent="0.3">
      <c r="B39" s="195">
        <v>16</v>
      </c>
      <c r="C39" s="197">
        <f t="shared" si="10"/>
        <v>38</v>
      </c>
      <c r="D39" s="197">
        <f t="shared" si="11"/>
        <v>38</v>
      </c>
      <c r="E39" s="197">
        <f t="shared" si="12"/>
        <v>38</v>
      </c>
      <c r="F39" s="197">
        <f t="shared" si="13"/>
        <v>50.588235294117645</v>
      </c>
      <c r="G39" s="197">
        <f t="shared" si="14"/>
        <v>52.310231023102304</v>
      </c>
      <c r="H39" s="197">
        <f t="shared" si="15"/>
        <v>30.491803278688522</v>
      </c>
      <c r="I39" s="197">
        <f t="shared" si="16"/>
        <v>42.215568862275447</v>
      </c>
      <c r="J39" s="197">
        <f t="shared" si="17"/>
        <v>43.01075268817204</v>
      </c>
      <c r="K39" s="197">
        <f t="shared" si="18"/>
        <v>44.60431654676259</v>
      </c>
      <c r="L39" s="197">
        <f t="shared" si="19"/>
        <v>45.851528384279476</v>
      </c>
      <c r="M39" s="197">
        <f t="shared" si="20"/>
        <v>45.851528384279476</v>
      </c>
      <c r="N39" s="197">
        <f t="shared" si="21"/>
        <v>45.851528384279476</v>
      </c>
    </row>
    <row r="40" spans="1:30" x14ac:dyDescent="0.3">
      <c r="B40" s="195">
        <v>17</v>
      </c>
      <c r="C40" s="197">
        <f t="shared" si="10"/>
        <v>49.666666666666664</v>
      </c>
      <c r="D40" s="197">
        <f t="shared" si="11"/>
        <v>49.666666666666664</v>
      </c>
      <c r="E40" s="197">
        <f t="shared" si="12"/>
        <v>49.666666666666664</v>
      </c>
      <c r="F40" s="197">
        <f t="shared" si="13"/>
        <v>62.941176470588232</v>
      </c>
      <c r="G40" s="197">
        <f t="shared" si="14"/>
        <v>66.006600660065999</v>
      </c>
      <c r="H40" s="197">
        <f t="shared" si="15"/>
        <v>55.081967213114758</v>
      </c>
      <c r="I40" s="197">
        <f t="shared" si="16"/>
        <v>52.994011976047908</v>
      </c>
      <c r="J40" s="197">
        <f t="shared" si="17"/>
        <v>56.98924731182796</v>
      </c>
      <c r="K40" s="197">
        <f t="shared" si="18"/>
        <v>56.474820143884898</v>
      </c>
      <c r="L40" s="197">
        <f t="shared" si="19"/>
        <v>57.641921397379917</v>
      </c>
      <c r="M40" s="197">
        <f t="shared" si="20"/>
        <v>57.641921397379917</v>
      </c>
      <c r="N40" s="197">
        <f t="shared" si="21"/>
        <v>57.641921397379917</v>
      </c>
    </row>
    <row r="41" spans="1:30" x14ac:dyDescent="0.3">
      <c r="B41" s="195">
        <v>18</v>
      </c>
      <c r="C41" s="197">
        <f t="shared" si="10"/>
        <v>55.666666666666664</v>
      </c>
      <c r="D41" s="197">
        <f t="shared" si="11"/>
        <v>55.666666666666664</v>
      </c>
      <c r="E41" s="197">
        <f t="shared" si="12"/>
        <v>55.666666666666664</v>
      </c>
      <c r="F41" s="197">
        <f t="shared" si="13"/>
        <v>66.470588235294116</v>
      </c>
      <c r="G41" s="197">
        <f t="shared" si="14"/>
        <v>68.976897689768975</v>
      </c>
      <c r="H41" s="197">
        <f t="shared" si="15"/>
        <v>64.26229508196721</v>
      </c>
      <c r="I41" s="197">
        <f t="shared" si="16"/>
        <v>63.17365269461078</v>
      </c>
      <c r="J41" s="197">
        <f t="shared" si="17"/>
        <v>64.731182795698928</v>
      </c>
      <c r="K41" s="197">
        <f t="shared" si="18"/>
        <v>64.748201438848923</v>
      </c>
      <c r="L41" s="197">
        <f t="shared" si="19"/>
        <v>67.358078602620083</v>
      </c>
      <c r="M41" s="197">
        <f t="shared" si="20"/>
        <v>67.358078602620083</v>
      </c>
      <c r="N41" s="197">
        <f t="shared" si="21"/>
        <v>67.358078602620083</v>
      </c>
    </row>
    <row r="42" spans="1:30" x14ac:dyDescent="0.3">
      <c r="B42" s="195">
        <v>19</v>
      </c>
      <c r="C42" s="197">
        <f t="shared" si="10"/>
        <v>55.666666666666664</v>
      </c>
      <c r="D42" s="197">
        <f t="shared" si="11"/>
        <v>55.666666666666664</v>
      </c>
      <c r="E42" s="197">
        <f t="shared" si="12"/>
        <v>55.666666666666664</v>
      </c>
      <c r="F42" s="197">
        <f t="shared" si="13"/>
        <v>70.784313725490193</v>
      </c>
      <c r="G42" s="197">
        <f t="shared" si="14"/>
        <v>72.277227722772281</v>
      </c>
      <c r="H42" s="197">
        <f t="shared" si="15"/>
        <v>71.147540983606561</v>
      </c>
      <c r="I42" s="197">
        <f t="shared" si="16"/>
        <v>69.461077844311376</v>
      </c>
      <c r="J42" s="197">
        <f t="shared" si="17"/>
        <v>68.172043010752688</v>
      </c>
      <c r="K42" s="197">
        <f t="shared" si="18"/>
        <v>68.705035971223012</v>
      </c>
      <c r="L42" s="197">
        <f t="shared" si="19"/>
        <v>72.270742358078593</v>
      </c>
      <c r="M42" s="197">
        <f t="shared" si="20"/>
        <v>72.270742358078593</v>
      </c>
      <c r="N42" s="197">
        <f t="shared" si="21"/>
        <v>72.270742358078593</v>
      </c>
    </row>
    <row r="43" spans="1:30" x14ac:dyDescent="0.3">
      <c r="B43" s="195">
        <v>20</v>
      </c>
      <c r="C43" s="197">
        <f t="shared" si="10"/>
        <v>55.666666666666664</v>
      </c>
      <c r="D43" s="197">
        <f t="shared" si="11"/>
        <v>55.666666666666664</v>
      </c>
      <c r="E43" s="197">
        <f t="shared" si="12"/>
        <v>55.666666666666664</v>
      </c>
      <c r="F43" s="197">
        <f t="shared" si="13"/>
        <v>72.156862745098039</v>
      </c>
      <c r="G43" s="197">
        <f t="shared" si="14"/>
        <v>74.422442244224413</v>
      </c>
      <c r="H43" s="197">
        <f t="shared" si="15"/>
        <v>81.639344262295083</v>
      </c>
      <c r="I43" s="197">
        <f t="shared" si="16"/>
        <v>73.053892215568865</v>
      </c>
      <c r="J43" s="197">
        <f t="shared" si="17"/>
        <v>70.537634408602145</v>
      </c>
      <c r="K43" s="197">
        <f t="shared" si="18"/>
        <v>72.302158273381295</v>
      </c>
      <c r="L43" s="197">
        <f t="shared" si="19"/>
        <v>76.200873362445407</v>
      </c>
      <c r="M43" s="197">
        <f t="shared" si="20"/>
        <v>76.200873362445407</v>
      </c>
      <c r="N43" s="197">
        <f t="shared" si="21"/>
        <v>76.200873362445407</v>
      </c>
    </row>
    <row r="44" spans="1:30" x14ac:dyDescent="0.3">
      <c r="E44" s="195"/>
      <c r="F44" s="50"/>
      <c r="G44" s="50"/>
      <c r="H44" s="50"/>
      <c r="I44" s="50"/>
      <c r="J44" s="50"/>
      <c r="K44" s="50"/>
      <c r="M44" s="195"/>
      <c r="N44" s="195"/>
    </row>
    <row r="45" spans="1:30" x14ac:dyDescent="0.3">
      <c r="A45" s="207"/>
      <c r="B45" s="207"/>
      <c r="C45" s="207"/>
      <c r="D45" s="207"/>
      <c r="E45" s="207"/>
      <c r="F45" s="207" t="s">
        <v>17</v>
      </c>
      <c r="G45" s="207"/>
      <c r="H45" s="207"/>
      <c r="I45" s="207"/>
      <c r="J45" s="207"/>
      <c r="K45" s="207"/>
      <c r="L45" s="207"/>
      <c r="M45" s="207"/>
      <c r="N45" s="207"/>
      <c r="O45" s="207"/>
      <c r="P45" s="207"/>
      <c r="Q45" s="207"/>
      <c r="R45" s="207"/>
      <c r="S45" s="207"/>
      <c r="T45" s="207"/>
      <c r="U45" s="207"/>
      <c r="V45" s="207"/>
      <c r="W45" s="207"/>
      <c r="X45" s="207"/>
      <c r="Y45" s="207"/>
      <c r="Z45" s="207"/>
      <c r="AA45" s="207"/>
      <c r="AB45" s="207"/>
      <c r="AC45" s="195"/>
      <c r="AD45" s="195"/>
    </row>
    <row r="46" spans="1:30" x14ac:dyDescent="0.3">
      <c r="A46" s="207" t="s">
        <v>17</v>
      </c>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195"/>
      <c r="AD46" s="195"/>
    </row>
    <row r="47" spans="1:30" x14ac:dyDescent="0.3">
      <c r="A47" s="207"/>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195"/>
      <c r="AD47" s="195"/>
    </row>
    <row r="48" spans="1:30" ht="15.6" x14ac:dyDescent="0.3">
      <c r="A48" s="207" t="s">
        <v>43</v>
      </c>
      <c r="B48" s="207" t="s">
        <v>43</v>
      </c>
      <c r="C48" s="208">
        <v>1</v>
      </c>
      <c r="D48" s="207"/>
      <c r="E48" s="208">
        <v>2</v>
      </c>
      <c r="F48" s="207"/>
      <c r="G48" s="208">
        <v>3</v>
      </c>
      <c r="H48" s="207"/>
      <c r="I48" s="208">
        <v>4</v>
      </c>
      <c r="J48" s="207"/>
      <c r="K48" s="208">
        <v>5</v>
      </c>
      <c r="L48" s="207"/>
      <c r="M48" s="208">
        <v>6</v>
      </c>
      <c r="N48" s="207"/>
      <c r="O48" s="208">
        <v>7</v>
      </c>
      <c r="P48" s="207"/>
      <c r="Q48" s="208">
        <v>8</v>
      </c>
      <c r="R48" s="207"/>
      <c r="S48" s="208">
        <v>9</v>
      </c>
      <c r="T48" s="207"/>
      <c r="U48" s="208">
        <v>10</v>
      </c>
      <c r="V48" s="207"/>
      <c r="W48" s="208">
        <v>11</v>
      </c>
      <c r="X48" s="207"/>
      <c r="Y48" s="208">
        <v>12</v>
      </c>
      <c r="Z48" s="207"/>
      <c r="AA48" s="207" t="s">
        <v>65</v>
      </c>
      <c r="AB48" s="207"/>
      <c r="AC48" s="195"/>
      <c r="AD48" s="195"/>
    </row>
    <row r="49" spans="1:30" x14ac:dyDescent="0.3">
      <c r="A49" s="207" t="s">
        <v>43</v>
      </c>
      <c r="B49" s="207"/>
      <c r="C49" s="207" t="s">
        <v>67</v>
      </c>
      <c r="D49" s="207" t="s">
        <v>28</v>
      </c>
      <c r="E49" s="207" t="s">
        <v>67</v>
      </c>
      <c r="F49" s="207" t="s">
        <v>28</v>
      </c>
      <c r="G49" s="207" t="s">
        <v>67</v>
      </c>
      <c r="H49" s="207" t="s">
        <v>28</v>
      </c>
      <c r="I49" s="207" t="s">
        <v>67</v>
      </c>
      <c r="J49" s="207" t="s">
        <v>28</v>
      </c>
      <c r="K49" s="207" t="s">
        <v>67</v>
      </c>
      <c r="L49" s="207" t="s">
        <v>28</v>
      </c>
      <c r="M49" s="207" t="s">
        <v>67</v>
      </c>
      <c r="N49" s="207" t="s">
        <v>28</v>
      </c>
      <c r="O49" s="207" t="s">
        <v>67</v>
      </c>
      <c r="P49" s="207" t="s">
        <v>28</v>
      </c>
      <c r="Q49" s="207" t="s">
        <v>67</v>
      </c>
      <c r="R49" s="207" t="s">
        <v>28</v>
      </c>
      <c r="S49" s="207" t="s">
        <v>67</v>
      </c>
      <c r="T49" s="207" t="s">
        <v>28</v>
      </c>
      <c r="U49" s="207" t="s">
        <v>67</v>
      </c>
      <c r="V49" s="207" t="s">
        <v>28</v>
      </c>
      <c r="W49" s="207" t="s">
        <v>67</v>
      </c>
      <c r="X49" s="207" t="s">
        <v>28</v>
      </c>
      <c r="Y49" s="207" t="s">
        <v>67</v>
      </c>
      <c r="Z49" s="207" t="s">
        <v>28</v>
      </c>
      <c r="AA49" s="207" t="s">
        <v>67</v>
      </c>
      <c r="AB49" s="207" t="s">
        <v>28</v>
      </c>
      <c r="AC49" s="195"/>
      <c r="AD49" s="195"/>
    </row>
    <row r="50" spans="1:30" x14ac:dyDescent="0.3">
      <c r="A50" s="207" t="s">
        <v>17</v>
      </c>
      <c r="B50" s="207" t="s">
        <v>49</v>
      </c>
      <c r="C50" s="207">
        <v>2</v>
      </c>
      <c r="D50" s="207">
        <v>100</v>
      </c>
      <c r="E50" s="207">
        <v>2</v>
      </c>
      <c r="F50" s="207">
        <v>100</v>
      </c>
      <c r="G50" s="207">
        <v>31</v>
      </c>
      <c r="H50" s="207">
        <v>100</v>
      </c>
      <c r="I50" s="207">
        <v>0</v>
      </c>
      <c r="J50" s="207">
        <v>0</v>
      </c>
      <c r="K50" s="207">
        <v>66</v>
      </c>
      <c r="L50" s="207">
        <v>100</v>
      </c>
      <c r="M50" s="207">
        <v>112</v>
      </c>
      <c r="N50" s="207">
        <v>100</v>
      </c>
      <c r="O50" s="207">
        <v>92</v>
      </c>
      <c r="P50" s="207">
        <v>43.4</v>
      </c>
      <c r="Q50" s="207">
        <v>87</v>
      </c>
      <c r="R50" s="207">
        <v>100</v>
      </c>
      <c r="S50" s="207">
        <v>136</v>
      </c>
      <c r="T50" s="207">
        <v>100</v>
      </c>
      <c r="U50" s="207">
        <v>59</v>
      </c>
      <c r="V50" s="207">
        <v>100</v>
      </c>
      <c r="W50" s="207">
        <v>33</v>
      </c>
      <c r="X50" s="207">
        <v>100</v>
      </c>
      <c r="Y50" s="207">
        <v>5</v>
      </c>
      <c r="Z50" s="207">
        <v>100</v>
      </c>
      <c r="AA50" s="209">
        <v>628</v>
      </c>
      <c r="AB50" s="207">
        <v>100</v>
      </c>
      <c r="AC50" s="195"/>
      <c r="AD50" s="195">
        <f>C50+E50+G50+I50+K50+M50+O50+Q50+S50+U50+W50+Y50</f>
        <v>625</v>
      </c>
    </row>
    <row r="51" spans="1:30" x14ac:dyDescent="0.3">
      <c r="A51" s="207"/>
      <c r="B51" s="207" t="s">
        <v>63</v>
      </c>
      <c r="C51" s="207">
        <v>2</v>
      </c>
      <c r="D51" s="207">
        <v>100</v>
      </c>
      <c r="E51" s="207">
        <v>2</v>
      </c>
      <c r="F51" s="207">
        <v>0</v>
      </c>
      <c r="G51" s="207">
        <v>17</v>
      </c>
      <c r="H51" s="207">
        <v>54.838709677419352</v>
      </c>
      <c r="I51" s="207">
        <v>0</v>
      </c>
      <c r="J51" s="207">
        <v>0</v>
      </c>
      <c r="K51" s="207">
        <v>10</v>
      </c>
      <c r="L51" s="207">
        <v>15.151515151515152</v>
      </c>
      <c r="M51" s="207">
        <v>54</v>
      </c>
      <c r="N51" s="207">
        <v>48.214285714285715</v>
      </c>
      <c r="O51" s="207">
        <v>66</v>
      </c>
      <c r="P51" s="207">
        <v>71.739130434782609</v>
      </c>
      <c r="Q51" s="207">
        <v>61</v>
      </c>
      <c r="R51" s="207">
        <v>70.114942528735639</v>
      </c>
      <c r="S51" s="207">
        <v>54</v>
      </c>
      <c r="T51" s="207">
        <v>39.705882352941174</v>
      </c>
      <c r="U51" s="207">
        <v>12</v>
      </c>
      <c r="V51" s="207">
        <v>20.33898305084746</v>
      </c>
      <c r="W51" s="207">
        <v>14</v>
      </c>
      <c r="X51" s="207">
        <v>42.424242424242422</v>
      </c>
      <c r="Y51" s="207">
        <v>2</v>
      </c>
      <c r="Z51" s="207">
        <v>40</v>
      </c>
      <c r="AA51" s="207">
        <v>296</v>
      </c>
      <c r="AB51" s="207">
        <v>47.133757961783438</v>
      </c>
      <c r="AC51" s="195"/>
      <c r="AD51" s="195"/>
    </row>
    <row r="52" spans="1:30" x14ac:dyDescent="0.3">
      <c r="A52" s="207"/>
      <c r="B52" s="207">
        <v>14</v>
      </c>
      <c r="C52" s="207">
        <v>0</v>
      </c>
      <c r="D52" s="207">
        <v>0</v>
      </c>
      <c r="E52" s="207">
        <v>0</v>
      </c>
      <c r="F52" s="207">
        <v>0</v>
      </c>
      <c r="G52" s="207">
        <v>0</v>
      </c>
      <c r="H52" s="207">
        <v>0</v>
      </c>
      <c r="I52" s="207">
        <v>0</v>
      </c>
      <c r="J52" s="207">
        <v>0</v>
      </c>
      <c r="K52" s="207">
        <v>0</v>
      </c>
      <c r="L52" s="207">
        <v>0</v>
      </c>
      <c r="M52" s="207">
        <v>0</v>
      </c>
      <c r="N52" s="207">
        <v>0</v>
      </c>
      <c r="O52" s="207">
        <v>0</v>
      </c>
      <c r="P52" s="207">
        <v>0</v>
      </c>
      <c r="Q52" s="207">
        <v>0</v>
      </c>
      <c r="R52" s="207">
        <v>0</v>
      </c>
      <c r="S52" s="207">
        <v>0</v>
      </c>
      <c r="T52" s="207">
        <v>0</v>
      </c>
      <c r="U52" s="207">
        <v>0</v>
      </c>
      <c r="V52" s="207">
        <v>0</v>
      </c>
      <c r="W52" s="207">
        <v>0</v>
      </c>
      <c r="X52" s="207">
        <v>0</v>
      </c>
      <c r="Y52" s="207">
        <v>0</v>
      </c>
      <c r="Z52" s="207">
        <v>0</v>
      </c>
      <c r="AA52" s="207">
        <v>0</v>
      </c>
      <c r="AB52" s="207">
        <v>0</v>
      </c>
      <c r="AC52" s="195"/>
      <c r="AD52" s="195"/>
    </row>
    <row r="53" spans="1:30" x14ac:dyDescent="0.3">
      <c r="A53" s="207"/>
      <c r="B53" s="207">
        <v>15</v>
      </c>
      <c r="C53" s="207">
        <v>0</v>
      </c>
      <c r="D53" s="207">
        <v>0</v>
      </c>
      <c r="E53" s="207">
        <v>0</v>
      </c>
      <c r="F53" s="207">
        <v>0</v>
      </c>
      <c r="G53" s="207">
        <v>10</v>
      </c>
      <c r="H53" s="207">
        <v>32.258064516129032</v>
      </c>
      <c r="I53" s="207">
        <v>0</v>
      </c>
      <c r="J53" s="207">
        <v>0</v>
      </c>
      <c r="K53" s="207">
        <v>15</v>
      </c>
      <c r="L53" s="207">
        <v>22.727272727272727</v>
      </c>
      <c r="M53" s="207">
        <v>8</v>
      </c>
      <c r="N53" s="207">
        <v>7.1428571428571423</v>
      </c>
      <c r="O53" s="207">
        <v>13</v>
      </c>
      <c r="P53" s="207">
        <v>14.130434782608695</v>
      </c>
      <c r="Q53" s="207">
        <v>16</v>
      </c>
      <c r="R53" s="207">
        <v>18.390804597701148</v>
      </c>
      <c r="S53" s="207">
        <v>22</v>
      </c>
      <c r="T53" s="207">
        <v>16.176470588235293</v>
      </c>
      <c r="U53" s="207">
        <v>11</v>
      </c>
      <c r="V53" s="207">
        <v>18.64406779661017</v>
      </c>
      <c r="W53" s="207">
        <v>9</v>
      </c>
      <c r="X53" s="207">
        <v>27.27272727272727</v>
      </c>
      <c r="Y53" s="207">
        <v>3</v>
      </c>
      <c r="Z53" s="207">
        <v>60</v>
      </c>
      <c r="AA53" s="207">
        <v>108</v>
      </c>
      <c r="AB53" s="207">
        <v>17.197452229299362</v>
      </c>
      <c r="AC53" s="195"/>
      <c r="AD53" s="195"/>
    </row>
    <row r="54" spans="1:30" x14ac:dyDescent="0.3">
      <c r="A54" s="207"/>
      <c r="B54" s="207">
        <v>16</v>
      </c>
      <c r="C54" s="207">
        <v>0</v>
      </c>
      <c r="D54" s="207">
        <v>0</v>
      </c>
      <c r="E54" s="207">
        <v>0</v>
      </c>
      <c r="F54" s="207">
        <v>0</v>
      </c>
      <c r="G54" s="207">
        <v>14</v>
      </c>
      <c r="H54" s="207">
        <v>45.161290322580641</v>
      </c>
      <c r="I54" s="207">
        <v>0</v>
      </c>
      <c r="J54" s="207">
        <v>0</v>
      </c>
      <c r="K54" s="207">
        <v>34</v>
      </c>
      <c r="L54" s="207">
        <v>51.515151515151516</v>
      </c>
      <c r="M54" s="207">
        <v>20</v>
      </c>
      <c r="N54" s="207">
        <v>17.857142857142858</v>
      </c>
      <c r="O54" s="207">
        <v>15</v>
      </c>
      <c r="P54" s="207">
        <v>16.304347826086957</v>
      </c>
      <c r="Q54" s="207">
        <v>23</v>
      </c>
      <c r="R54" s="207">
        <v>26.436781609195403</v>
      </c>
      <c r="S54" s="207">
        <v>39</v>
      </c>
      <c r="T54" s="207">
        <v>28.676470588235293</v>
      </c>
      <c r="U54" s="207">
        <v>23</v>
      </c>
      <c r="V54" s="207">
        <v>38.983050847457626</v>
      </c>
      <c r="W54" s="207">
        <v>13</v>
      </c>
      <c r="X54" s="207">
        <v>39.393939393939391</v>
      </c>
      <c r="Y54" s="207">
        <v>3</v>
      </c>
      <c r="Z54" s="207">
        <v>60</v>
      </c>
      <c r="AA54" s="207">
        <v>185</v>
      </c>
      <c r="AB54" s="207">
        <v>29.458598726114648</v>
      </c>
      <c r="AC54" s="195"/>
      <c r="AD54" s="195"/>
    </row>
    <row r="55" spans="1:30" x14ac:dyDescent="0.3">
      <c r="A55" s="207"/>
      <c r="B55" s="207">
        <v>17</v>
      </c>
      <c r="C55" s="207">
        <v>0</v>
      </c>
      <c r="D55" s="207">
        <v>0</v>
      </c>
      <c r="E55" s="207">
        <v>0</v>
      </c>
      <c r="F55" s="207">
        <v>0</v>
      </c>
      <c r="G55" s="207">
        <v>14</v>
      </c>
      <c r="H55" s="207">
        <v>45.161290322580641</v>
      </c>
      <c r="I55" s="207">
        <v>0</v>
      </c>
      <c r="J55" s="207">
        <v>0</v>
      </c>
      <c r="K55" s="207">
        <v>47</v>
      </c>
      <c r="L55" s="207">
        <v>71.212121212121218</v>
      </c>
      <c r="M55" s="207">
        <v>30</v>
      </c>
      <c r="N55" s="207">
        <v>26.785714285714285</v>
      </c>
      <c r="O55" s="207">
        <v>15</v>
      </c>
      <c r="P55" s="207">
        <v>16.304347826086957</v>
      </c>
      <c r="Q55" s="207">
        <v>26</v>
      </c>
      <c r="R55" s="207">
        <v>29.885057471264371</v>
      </c>
      <c r="S55" s="207">
        <v>64</v>
      </c>
      <c r="T55" s="207">
        <v>47.058823529411761</v>
      </c>
      <c r="U55" s="207">
        <v>27</v>
      </c>
      <c r="V55" s="207">
        <v>45.762711864406782</v>
      </c>
      <c r="W55" s="207">
        <v>13</v>
      </c>
      <c r="X55" s="207">
        <v>39.393939393939391</v>
      </c>
      <c r="Y55" s="207">
        <v>3</v>
      </c>
      <c r="Z55" s="207">
        <v>60</v>
      </c>
      <c r="AA55" s="209">
        <v>241</v>
      </c>
      <c r="AB55" s="207">
        <v>38.375796178343954</v>
      </c>
      <c r="AC55" s="195"/>
      <c r="AD55" s="195"/>
    </row>
    <row r="56" spans="1:30" x14ac:dyDescent="0.3">
      <c r="A56" s="207"/>
      <c r="B56" s="207">
        <v>18</v>
      </c>
      <c r="C56" s="207">
        <v>0</v>
      </c>
      <c r="D56" s="207">
        <v>0</v>
      </c>
      <c r="E56" s="207">
        <v>0</v>
      </c>
      <c r="F56" s="207">
        <v>0</v>
      </c>
      <c r="G56" s="207">
        <v>14</v>
      </c>
      <c r="H56" s="207">
        <v>45.161290322580641</v>
      </c>
      <c r="I56" s="207">
        <v>0</v>
      </c>
      <c r="J56" s="207">
        <v>0</v>
      </c>
      <c r="K56" s="207">
        <v>56</v>
      </c>
      <c r="L56" s="207">
        <v>84.848484848484844</v>
      </c>
      <c r="M56" s="207">
        <v>44</v>
      </c>
      <c r="N56" s="207">
        <v>39.285714285714285</v>
      </c>
      <c r="O56" s="207">
        <v>20</v>
      </c>
      <c r="P56" s="207">
        <v>21.739130434782609</v>
      </c>
      <c r="Q56" s="207">
        <v>26</v>
      </c>
      <c r="R56" s="207">
        <v>29.885057471264371</v>
      </c>
      <c r="S56" s="207">
        <v>69</v>
      </c>
      <c r="T56" s="207">
        <v>50.735294117647058</v>
      </c>
      <c r="U56" s="207">
        <v>40</v>
      </c>
      <c r="V56" s="207">
        <v>67.796610169491515</v>
      </c>
      <c r="W56" s="207">
        <v>13</v>
      </c>
      <c r="X56" s="207">
        <v>39.393939393939391</v>
      </c>
      <c r="Y56" s="207">
        <v>3</v>
      </c>
      <c r="Z56" s="207">
        <v>60</v>
      </c>
      <c r="AA56" s="209">
        <v>286</v>
      </c>
      <c r="AB56" s="207">
        <v>45.541401273885349</v>
      </c>
      <c r="AC56" s="195"/>
      <c r="AD56" s="195"/>
    </row>
    <row r="57" spans="1:30" x14ac:dyDescent="0.3">
      <c r="A57" s="207"/>
      <c r="B57" s="207">
        <v>19</v>
      </c>
      <c r="C57" s="207">
        <v>0</v>
      </c>
      <c r="D57" s="207">
        <v>0</v>
      </c>
      <c r="E57" s="207">
        <v>0</v>
      </c>
      <c r="F57" s="207">
        <v>0</v>
      </c>
      <c r="G57" s="207">
        <v>14</v>
      </c>
      <c r="H57" s="207">
        <v>45.161290322580641</v>
      </c>
      <c r="I57" s="207">
        <v>0</v>
      </c>
      <c r="J57" s="207">
        <v>0</v>
      </c>
      <c r="K57" s="207">
        <v>56</v>
      </c>
      <c r="L57" s="207">
        <v>84.848484848484844</v>
      </c>
      <c r="M57" s="207">
        <v>58</v>
      </c>
      <c r="N57" s="207">
        <v>51.785714285714292</v>
      </c>
      <c r="O57" s="207">
        <v>25</v>
      </c>
      <c r="P57" s="207">
        <v>27.173913043478258</v>
      </c>
      <c r="Q57" s="207">
        <v>26</v>
      </c>
      <c r="R57" s="207">
        <v>29.885057471264371</v>
      </c>
      <c r="S57" s="207">
        <v>69</v>
      </c>
      <c r="T57" s="207">
        <v>50.735294117647058</v>
      </c>
      <c r="U57" s="207">
        <v>40</v>
      </c>
      <c r="V57" s="207">
        <v>67.796610169491515</v>
      </c>
      <c r="W57" s="207">
        <v>13</v>
      </c>
      <c r="X57" s="207">
        <v>39.393939393939391</v>
      </c>
      <c r="Y57" s="207">
        <v>3</v>
      </c>
      <c r="Z57" s="207">
        <v>60</v>
      </c>
      <c r="AA57" s="209">
        <v>305</v>
      </c>
      <c r="AB57" s="207">
        <v>48.566878980891723</v>
      </c>
      <c r="AC57" s="195"/>
      <c r="AD57" s="195"/>
    </row>
    <row r="58" spans="1:30" x14ac:dyDescent="0.3">
      <c r="A58" s="207"/>
      <c r="B58" s="210">
        <v>20</v>
      </c>
      <c r="C58" s="210">
        <v>0</v>
      </c>
      <c r="D58" s="210">
        <v>0</v>
      </c>
      <c r="E58" s="210">
        <v>0</v>
      </c>
      <c r="F58" s="210">
        <v>0</v>
      </c>
      <c r="G58" s="210">
        <v>14</v>
      </c>
      <c r="H58" s="210">
        <v>45.161290322580641</v>
      </c>
      <c r="I58" s="210">
        <v>0</v>
      </c>
      <c r="J58" s="210">
        <v>0</v>
      </c>
      <c r="K58" s="210">
        <v>56</v>
      </c>
      <c r="L58" s="210">
        <v>84.848484848484844</v>
      </c>
      <c r="M58" s="210">
        <v>58</v>
      </c>
      <c r="N58" s="210">
        <v>51.785714285714292</v>
      </c>
      <c r="O58" s="210">
        <v>25</v>
      </c>
      <c r="P58" s="210">
        <v>27.173913043478258</v>
      </c>
      <c r="Q58" s="210">
        <v>26</v>
      </c>
      <c r="R58" s="210">
        <v>29.885057471264371</v>
      </c>
      <c r="S58" s="210">
        <v>69</v>
      </c>
      <c r="T58" s="210">
        <v>50.735294117647058</v>
      </c>
      <c r="U58" s="210">
        <v>40</v>
      </c>
      <c r="V58" s="210">
        <v>67.796610169491515</v>
      </c>
      <c r="W58" s="210">
        <v>18</v>
      </c>
      <c r="X58" s="210">
        <v>54.54545454545454</v>
      </c>
      <c r="Y58" s="210">
        <v>3</v>
      </c>
      <c r="Z58" s="210">
        <v>60</v>
      </c>
      <c r="AA58" s="211">
        <v>311</v>
      </c>
      <c r="AB58" s="210">
        <v>49.522292993630572</v>
      </c>
      <c r="AC58" s="195"/>
      <c r="AD58" s="195"/>
    </row>
    <row r="59" spans="1:30" x14ac:dyDescent="0.3">
      <c r="A59" s="19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row>
    <row r="60" spans="1:30" x14ac:dyDescent="0.3">
      <c r="A60" s="195"/>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row>
    <row r="61" spans="1:30" x14ac:dyDescent="0.3">
      <c r="A61" s="195"/>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row>
    <row r="62" spans="1:30" x14ac:dyDescent="0.3">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row>
    <row r="63" spans="1:30" x14ac:dyDescent="0.3">
      <c r="A63" s="195"/>
      <c r="B63" s="195"/>
      <c r="C63" s="196" t="s">
        <v>93</v>
      </c>
      <c r="D63" s="195"/>
      <c r="E63" s="195" t="s">
        <v>94</v>
      </c>
      <c r="F63" s="195"/>
      <c r="G63" s="195" t="s">
        <v>4</v>
      </c>
      <c r="H63" s="195"/>
      <c r="I63" s="195" t="s">
        <v>95</v>
      </c>
      <c r="J63" s="195"/>
      <c r="K63" s="195" t="s">
        <v>96</v>
      </c>
      <c r="L63" s="195"/>
      <c r="M63" s="195" t="s">
        <v>7</v>
      </c>
      <c r="N63" s="195"/>
      <c r="O63" s="195" t="s">
        <v>8</v>
      </c>
      <c r="P63" s="195"/>
      <c r="Q63" s="195" t="s">
        <v>113</v>
      </c>
      <c r="R63" s="195"/>
      <c r="S63" s="195"/>
      <c r="T63" s="195"/>
      <c r="U63" s="195"/>
      <c r="V63" s="195"/>
      <c r="W63" s="195"/>
      <c r="X63" s="195"/>
      <c r="Y63" s="195"/>
      <c r="Z63" s="195"/>
      <c r="AA63" s="195"/>
      <c r="AB63" s="195"/>
      <c r="AC63" s="195"/>
      <c r="AD63" s="195"/>
    </row>
    <row r="64" spans="1:30" x14ac:dyDescent="0.3">
      <c r="A64" s="195"/>
      <c r="B64" s="195"/>
      <c r="C64" s="36" t="s">
        <v>67</v>
      </c>
      <c r="D64" s="36" t="s">
        <v>28</v>
      </c>
      <c r="E64" s="36" t="s">
        <v>67</v>
      </c>
      <c r="F64" s="36" t="s">
        <v>28</v>
      </c>
      <c r="G64" s="36" t="s">
        <v>67</v>
      </c>
      <c r="H64" s="36" t="s">
        <v>28</v>
      </c>
      <c r="I64" s="36" t="s">
        <v>67</v>
      </c>
      <c r="J64" s="36" t="s">
        <v>28</v>
      </c>
      <c r="K64" s="36" t="s">
        <v>67</v>
      </c>
      <c r="L64" s="36" t="s">
        <v>28</v>
      </c>
      <c r="M64" s="36" t="s">
        <v>67</v>
      </c>
      <c r="N64" s="36" t="s">
        <v>28</v>
      </c>
      <c r="O64" s="36" t="s">
        <v>67</v>
      </c>
      <c r="P64" s="36" t="s">
        <v>28</v>
      </c>
      <c r="Q64" s="36" t="s">
        <v>67</v>
      </c>
      <c r="R64" s="36" t="s">
        <v>28</v>
      </c>
      <c r="S64" s="195"/>
      <c r="T64" s="195"/>
      <c r="U64" s="195"/>
      <c r="V64" s="195"/>
      <c r="W64" s="195"/>
      <c r="X64" s="195"/>
      <c r="Y64" s="195"/>
      <c r="Z64" s="195"/>
      <c r="AA64" s="195"/>
      <c r="AB64" s="195"/>
      <c r="AC64" s="195"/>
      <c r="AD64" s="195"/>
    </row>
    <row r="65" spans="1:30" x14ac:dyDescent="0.3">
      <c r="A65" s="195"/>
      <c r="B65" s="195" t="s">
        <v>49</v>
      </c>
      <c r="C65" s="195">
        <f>C50+E50+G50</f>
        <v>35</v>
      </c>
      <c r="D65" s="195">
        <v>100</v>
      </c>
      <c r="E65" s="195">
        <f>G50+K50</f>
        <v>97</v>
      </c>
      <c r="F65" s="195">
        <v>100</v>
      </c>
      <c r="G65" s="195">
        <v>66</v>
      </c>
      <c r="H65" s="195">
        <v>100</v>
      </c>
      <c r="I65" s="195">
        <v>112</v>
      </c>
      <c r="J65" s="195">
        <v>100</v>
      </c>
      <c r="K65" s="195">
        <v>92</v>
      </c>
      <c r="L65" s="195">
        <v>43.4</v>
      </c>
      <c r="M65" s="195">
        <v>87</v>
      </c>
      <c r="N65" s="195">
        <v>100</v>
      </c>
      <c r="O65" s="195">
        <v>136</v>
      </c>
      <c r="P65" s="195">
        <v>100</v>
      </c>
      <c r="Q65" s="195">
        <f>U50+W50+Y50</f>
        <v>97</v>
      </c>
      <c r="R65" s="195">
        <v>100</v>
      </c>
      <c r="S65" s="195" t="s">
        <v>49</v>
      </c>
      <c r="T65" s="195"/>
      <c r="U65" s="195"/>
      <c r="V65" s="195"/>
      <c r="W65" s="195"/>
      <c r="X65" s="195"/>
      <c r="Y65" s="195"/>
      <c r="Z65" s="195"/>
      <c r="AA65" s="195"/>
      <c r="AB65" s="195"/>
      <c r="AC65" s="195"/>
      <c r="AD65" s="195"/>
    </row>
    <row r="66" spans="1:30" x14ac:dyDescent="0.3">
      <c r="A66" s="195"/>
      <c r="B66" s="11" t="s">
        <v>63</v>
      </c>
      <c r="C66" s="11">
        <f t="shared" ref="C66:C73" si="22">C51+E51+G51</f>
        <v>21</v>
      </c>
      <c r="D66" s="219">
        <f>(C66/C$65)*100</f>
        <v>60</v>
      </c>
      <c r="E66" s="11">
        <f t="shared" ref="E66:E73" si="23">G51+K51</f>
        <v>27</v>
      </c>
      <c r="F66" s="219">
        <f>(E66/E$65)*100</f>
        <v>27.835051546391753</v>
      </c>
      <c r="G66" s="11">
        <v>10</v>
      </c>
      <c r="H66" s="219">
        <f t="shared" ref="H66:H73" si="24">(G66/G$65)*100</f>
        <v>15.151515151515152</v>
      </c>
      <c r="I66" s="11">
        <v>54</v>
      </c>
      <c r="J66" s="219">
        <f t="shared" ref="J66:J73" si="25">(I66/I$65)*100</f>
        <v>48.214285714285715</v>
      </c>
      <c r="K66" s="11">
        <v>66</v>
      </c>
      <c r="L66" s="219">
        <f t="shared" ref="L66:L73" si="26">(K66/K$65)*100</f>
        <v>71.739130434782609</v>
      </c>
      <c r="M66" s="11">
        <v>61</v>
      </c>
      <c r="N66" s="219">
        <f t="shared" ref="N66:N73" si="27">(M66/M$65)*100</f>
        <v>70.114942528735639</v>
      </c>
      <c r="O66" s="11">
        <v>54</v>
      </c>
      <c r="P66" s="219">
        <f t="shared" ref="P66:P73" si="28">(O66/O$65)*100</f>
        <v>39.705882352941174</v>
      </c>
      <c r="Q66" s="11">
        <f t="shared" ref="Q66:Q73" si="29">U51+W51+Y51</f>
        <v>28</v>
      </c>
      <c r="R66" s="219">
        <f t="shared" ref="R66:R73" si="30">(Q66/Q$65)*100</f>
        <v>28.865979381443296</v>
      </c>
      <c r="S66" s="11" t="s">
        <v>63</v>
      </c>
      <c r="T66" s="195"/>
      <c r="U66" s="195"/>
      <c r="V66" s="195"/>
      <c r="W66" s="195"/>
      <c r="X66" s="195"/>
      <c r="Y66" s="195"/>
      <c r="Z66" s="195"/>
      <c r="AA66" s="195"/>
      <c r="AB66" s="195"/>
      <c r="AC66" s="195"/>
      <c r="AD66" s="195"/>
    </row>
    <row r="67" spans="1:30" x14ac:dyDescent="0.3">
      <c r="A67" s="195"/>
      <c r="B67" s="195">
        <v>14</v>
      </c>
      <c r="C67" s="195">
        <f t="shared" si="22"/>
        <v>0</v>
      </c>
      <c r="D67" s="219">
        <f t="shared" ref="D67:F73" si="31">(C67/C$65)*100</f>
        <v>0</v>
      </c>
      <c r="E67" s="195">
        <f t="shared" si="23"/>
        <v>0</v>
      </c>
      <c r="F67" s="219">
        <f t="shared" si="31"/>
        <v>0</v>
      </c>
      <c r="G67" s="195">
        <v>0</v>
      </c>
      <c r="H67" s="219">
        <f t="shared" si="24"/>
        <v>0</v>
      </c>
      <c r="I67" s="195">
        <v>0</v>
      </c>
      <c r="J67" s="219">
        <f t="shared" si="25"/>
        <v>0</v>
      </c>
      <c r="K67" s="195">
        <v>0</v>
      </c>
      <c r="L67" s="219">
        <f t="shared" si="26"/>
        <v>0</v>
      </c>
      <c r="M67" s="195">
        <v>0</v>
      </c>
      <c r="N67" s="219">
        <f t="shared" si="27"/>
        <v>0</v>
      </c>
      <c r="O67" s="195">
        <v>0</v>
      </c>
      <c r="P67" s="219">
        <f t="shared" si="28"/>
        <v>0</v>
      </c>
      <c r="Q67" s="195">
        <f t="shared" si="29"/>
        <v>0</v>
      </c>
      <c r="R67" s="219">
        <f t="shared" si="30"/>
        <v>0</v>
      </c>
      <c r="S67" s="195">
        <v>14</v>
      </c>
      <c r="T67" s="195"/>
      <c r="U67" s="195"/>
      <c r="V67" s="195"/>
      <c r="W67" s="195"/>
      <c r="X67" s="195"/>
      <c r="Y67" s="195"/>
      <c r="Z67" s="195"/>
      <c r="AA67" s="195"/>
      <c r="AB67" s="195"/>
      <c r="AC67" s="195"/>
      <c r="AD67" s="195"/>
    </row>
    <row r="68" spans="1:30" x14ac:dyDescent="0.3">
      <c r="A68" s="195"/>
      <c r="B68" s="195">
        <v>15</v>
      </c>
      <c r="C68" s="195">
        <f t="shared" si="22"/>
        <v>10</v>
      </c>
      <c r="D68" s="219">
        <f t="shared" si="31"/>
        <v>28.571428571428569</v>
      </c>
      <c r="E68" s="195">
        <f t="shared" si="23"/>
        <v>25</v>
      </c>
      <c r="F68" s="219">
        <f t="shared" si="31"/>
        <v>25.773195876288657</v>
      </c>
      <c r="G68" s="195">
        <v>15</v>
      </c>
      <c r="H68" s="219">
        <f t="shared" si="24"/>
        <v>22.727272727272727</v>
      </c>
      <c r="I68" s="195">
        <v>8</v>
      </c>
      <c r="J68" s="219">
        <f t="shared" si="25"/>
        <v>7.1428571428571423</v>
      </c>
      <c r="K68" s="195">
        <v>13</v>
      </c>
      <c r="L68" s="219">
        <f t="shared" si="26"/>
        <v>14.130434782608695</v>
      </c>
      <c r="M68" s="195">
        <v>16</v>
      </c>
      <c r="N68" s="219">
        <f t="shared" si="27"/>
        <v>18.390804597701148</v>
      </c>
      <c r="O68" s="195">
        <v>22</v>
      </c>
      <c r="P68" s="219">
        <f t="shared" si="28"/>
        <v>16.176470588235293</v>
      </c>
      <c r="Q68" s="195">
        <f t="shared" si="29"/>
        <v>23</v>
      </c>
      <c r="R68" s="219">
        <f t="shared" si="30"/>
        <v>23.711340206185564</v>
      </c>
      <c r="S68" s="195">
        <v>15</v>
      </c>
      <c r="T68" s="195"/>
      <c r="U68" s="195"/>
      <c r="V68" s="195"/>
      <c r="W68" s="195"/>
      <c r="X68" s="195"/>
      <c r="Y68" s="195"/>
      <c r="Z68" s="195"/>
      <c r="AA68" s="195"/>
      <c r="AB68" s="195"/>
      <c r="AC68" s="195"/>
      <c r="AD68" s="195"/>
    </row>
    <row r="69" spans="1:30" x14ac:dyDescent="0.3">
      <c r="A69" s="195"/>
      <c r="B69" s="195">
        <v>16</v>
      </c>
      <c r="C69" s="195">
        <f t="shared" si="22"/>
        <v>14</v>
      </c>
      <c r="D69" s="219">
        <f t="shared" si="31"/>
        <v>40</v>
      </c>
      <c r="E69" s="195">
        <f t="shared" si="23"/>
        <v>48</v>
      </c>
      <c r="F69" s="219">
        <f t="shared" si="31"/>
        <v>49.484536082474229</v>
      </c>
      <c r="G69" s="195">
        <v>34</v>
      </c>
      <c r="H69" s="219">
        <f t="shared" si="24"/>
        <v>51.515151515151516</v>
      </c>
      <c r="I69" s="195">
        <v>20</v>
      </c>
      <c r="J69" s="219">
        <f t="shared" si="25"/>
        <v>17.857142857142858</v>
      </c>
      <c r="K69" s="195">
        <v>15</v>
      </c>
      <c r="L69" s="219">
        <f t="shared" si="26"/>
        <v>16.304347826086957</v>
      </c>
      <c r="M69" s="195">
        <v>23</v>
      </c>
      <c r="N69" s="219">
        <f t="shared" si="27"/>
        <v>26.436781609195403</v>
      </c>
      <c r="O69" s="195">
        <v>39</v>
      </c>
      <c r="P69" s="219">
        <f t="shared" si="28"/>
        <v>28.676470588235293</v>
      </c>
      <c r="Q69" s="195">
        <f t="shared" si="29"/>
        <v>39</v>
      </c>
      <c r="R69" s="219">
        <f t="shared" si="30"/>
        <v>40.206185567010309</v>
      </c>
      <c r="S69" s="195">
        <v>16</v>
      </c>
      <c r="T69" s="195"/>
      <c r="U69" s="195"/>
      <c r="V69" s="195"/>
      <c r="W69" s="195"/>
      <c r="X69" s="195"/>
      <c r="Y69" s="195"/>
      <c r="Z69" s="195"/>
      <c r="AA69" s="195"/>
      <c r="AB69" s="195"/>
      <c r="AC69" s="195"/>
      <c r="AD69" s="195"/>
    </row>
    <row r="70" spans="1:30" x14ac:dyDescent="0.3">
      <c r="A70" s="195"/>
      <c r="B70" s="195">
        <v>17</v>
      </c>
      <c r="C70" s="195">
        <f t="shared" si="22"/>
        <v>14</v>
      </c>
      <c r="D70" s="219">
        <f t="shared" si="31"/>
        <v>40</v>
      </c>
      <c r="E70" s="195">
        <f t="shared" si="23"/>
        <v>61</v>
      </c>
      <c r="F70" s="219">
        <f t="shared" si="31"/>
        <v>62.886597938144327</v>
      </c>
      <c r="G70" s="195">
        <v>47</v>
      </c>
      <c r="H70" s="219">
        <f t="shared" si="24"/>
        <v>71.212121212121218</v>
      </c>
      <c r="I70" s="195">
        <v>30</v>
      </c>
      <c r="J70" s="219">
        <f t="shared" si="25"/>
        <v>26.785714285714285</v>
      </c>
      <c r="K70" s="195">
        <v>15</v>
      </c>
      <c r="L70" s="219">
        <f t="shared" si="26"/>
        <v>16.304347826086957</v>
      </c>
      <c r="M70" s="195">
        <v>26</v>
      </c>
      <c r="N70" s="219">
        <f t="shared" si="27"/>
        <v>29.885057471264371</v>
      </c>
      <c r="O70" s="195">
        <v>64</v>
      </c>
      <c r="P70" s="219">
        <f t="shared" si="28"/>
        <v>47.058823529411761</v>
      </c>
      <c r="Q70" s="195">
        <f t="shared" si="29"/>
        <v>43</v>
      </c>
      <c r="R70" s="219">
        <f t="shared" si="30"/>
        <v>44.329896907216494</v>
      </c>
      <c r="S70" s="195">
        <v>17</v>
      </c>
      <c r="T70" s="195"/>
      <c r="U70" s="195"/>
      <c r="V70" s="195"/>
      <c r="W70" s="195"/>
      <c r="X70" s="195"/>
      <c r="Y70" s="195"/>
      <c r="Z70" s="195"/>
      <c r="AA70" s="195"/>
      <c r="AB70" s="195"/>
      <c r="AC70" s="195"/>
      <c r="AD70" s="195"/>
    </row>
    <row r="71" spans="1:30" x14ac:dyDescent="0.3">
      <c r="A71" s="195"/>
      <c r="B71" s="195">
        <v>18</v>
      </c>
      <c r="C71" s="195">
        <f t="shared" si="22"/>
        <v>14</v>
      </c>
      <c r="D71" s="219">
        <f t="shared" si="31"/>
        <v>40</v>
      </c>
      <c r="E71" s="195">
        <f t="shared" si="23"/>
        <v>70</v>
      </c>
      <c r="F71" s="219">
        <f t="shared" si="31"/>
        <v>72.164948453608247</v>
      </c>
      <c r="G71" s="195">
        <v>56</v>
      </c>
      <c r="H71" s="219">
        <f t="shared" si="24"/>
        <v>84.848484848484844</v>
      </c>
      <c r="I71" s="195">
        <v>44</v>
      </c>
      <c r="J71" s="219">
        <f t="shared" si="25"/>
        <v>39.285714285714285</v>
      </c>
      <c r="K71" s="195">
        <v>20</v>
      </c>
      <c r="L71" s="219">
        <f t="shared" si="26"/>
        <v>21.739130434782609</v>
      </c>
      <c r="M71" s="195">
        <v>26</v>
      </c>
      <c r="N71" s="219">
        <f t="shared" si="27"/>
        <v>29.885057471264371</v>
      </c>
      <c r="O71" s="195">
        <v>69</v>
      </c>
      <c r="P71" s="219">
        <f t="shared" si="28"/>
        <v>50.735294117647058</v>
      </c>
      <c r="Q71" s="195">
        <f t="shared" si="29"/>
        <v>56</v>
      </c>
      <c r="R71" s="219">
        <f t="shared" si="30"/>
        <v>57.731958762886592</v>
      </c>
      <c r="S71" s="195">
        <v>18</v>
      </c>
      <c r="T71" s="195"/>
      <c r="U71" s="195"/>
      <c r="V71" s="195"/>
      <c r="W71" s="195"/>
      <c r="X71" s="195"/>
      <c r="Y71" s="195"/>
      <c r="Z71" s="195"/>
      <c r="AA71" s="195"/>
      <c r="AB71" s="195"/>
      <c r="AC71" s="195"/>
      <c r="AD71" s="195"/>
    </row>
    <row r="72" spans="1:30" x14ac:dyDescent="0.3">
      <c r="A72" s="195"/>
      <c r="B72" s="195">
        <v>19</v>
      </c>
      <c r="C72" s="195">
        <f t="shared" si="22"/>
        <v>14</v>
      </c>
      <c r="D72" s="219">
        <f t="shared" si="31"/>
        <v>40</v>
      </c>
      <c r="E72" s="195">
        <f t="shared" si="23"/>
        <v>70</v>
      </c>
      <c r="F72" s="219">
        <f t="shared" si="31"/>
        <v>72.164948453608247</v>
      </c>
      <c r="G72" s="195">
        <v>56</v>
      </c>
      <c r="H72" s="219">
        <f t="shared" si="24"/>
        <v>84.848484848484844</v>
      </c>
      <c r="I72" s="195">
        <v>58</v>
      </c>
      <c r="J72" s="219">
        <f t="shared" si="25"/>
        <v>51.785714285714292</v>
      </c>
      <c r="K72" s="195">
        <v>25</v>
      </c>
      <c r="L72" s="219">
        <f t="shared" si="26"/>
        <v>27.173913043478258</v>
      </c>
      <c r="M72" s="195">
        <v>26</v>
      </c>
      <c r="N72" s="219">
        <f t="shared" si="27"/>
        <v>29.885057471264371</v>
      </c>
      <c r="O72" s="195">
        <v>69</v>
      </c>
      <c r="P72" s="219">
        <f t="shared" si="28"/>
        <v>50.735294117647058</v>
      </c>
      <c r="Q72" s="195">
        <f t="shared" si="29"/>
        <v>56</v>
      </c>
      <c r="R72" s="219">
        <f t="shared" si="30"/>
        <v>57.731958762886592</v>
      </c>
      <c r="S72" s="195">
        <v>19</v>
      </c>
      <c r="T72" s="195"/>
      <c r="U72" s="195"/>
      <c r="V72" s="195"/>
      <c r="W72" s="195"/>
      <c r="X72" s="195"/>
      <c r="Y72" s="195"/>
      <c r="Z72" s="195"/>
      <c r="AA72" s="195"/>
      <c r="AB72" s="195"/>
      <c r="AC72" s="195"/>
      <c r="AD72" s="195"/>
    </row>
    <row r="73" spans="1:30" x14ac:dyDescent="0.3">
      <c r="A73" s="195"/>
      <c r="B73" s="195">
        <v>20</v>
      </c>
      <c r="C73" s="195">
        <f t="shared" si="22"/>
        <v>14</v>
      </c>
      <c r="D73" s="219">
        <f t="shared" si="31"/>
        <v>40</v>
      </c>
      <c r="E73" s="195">
        <f t="shared" si="23"/>
        <v>70</v>
      </c>
      <c r="F73" s="219">
        <f t="shared" si="31"/>
        <v>72.164948453608247</v>
      </c>
      <c r="G73" s="40">
        <v>56</v>
      </c>
      <c r="H73" s="219">
        <f t="shared" si="24"/>
        <v>84.848484848484844</v>
      </c>
      <c r="I73" s="40">
        <v>58</v>
      </c>
      <c r="J73" s="219">
        <f t="shared" si="25"/>
        <v>51.785714285714292</v>
      </c>
      <c r="K73" s="40">
        <v>25</v>
      </c>
      <c r="L73" s="219">
        <f t="shared" si="26"/>
        <v>27.173913043478258</v>
      </c>
      <c r="M73" s="40">
        <v>26</v>
      </c>
      <c r="N73" s="219">
        <f t="shared" si="27"/>
        <v>29.885057471264371</v>
      </c>
      <c r="O73" s="40">
        <v>69</v>
      </c>
      <c r="P73" s="219">
        <f t="shared" si="28"/>
        <v>50.735294117647058</v>
      </c>
      <c r="Q73" s="195">
        <f t="shared" si="29"/>
        <v>61</v>
      </c>
      <c r="R73" s="219">
        <f t="shared" si="30"/>
        <v>62.886597938144327</v>
      </c>
      <c r="S73" s="195">
        <v>20</v>
      </c>
      <c r="T73" s="195"/>
      <c r="U73" s="195"/>
      <c r="V73" s="195"/>
      <c r="W73" s="195"/>
      <c r="X73" s="195"/>
      <c r="Y73" s="195"/>
      <c r="Z73" s="195"/>
      <c r="AA73" s="195"/>
      <c r="AB73" s="195"/>
      <c r="AC73" s="195"/>
      <c r="AD73" s="195"/>
    </row>
    <row r="74" spans="1:30" x14ac:dyDescent="0.3">
      <c r="A74" s="195"/>
      <c r="B74" s="195"/>
      <c r="C74" s="195"/>
      <c r="D74" s="197"/>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row>
    <row r="75" spans="1:30" x14ac:dyDescent="0.3">
      <c r="A75" s="195"/>
      <c r="B75" s="195"/>
      <c r="C75" s="195"/>
      <c r="D75" s="197"/>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row>
    <row r="76" spans="1:30" x14ac:dyDescent="0.3">
      <c r="A76" s="195"/>
      <c r="B76" s="195"/>
      <c r="C76" s="195"/>
      <c r="D76" s="197"/>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row>
    <row r="77" spans="1:30" x14ac:dyDescent="0.3">
      <c r="A77" s="195"/>
      <c r="B77" s="195"/>
      <c r="C77" s="195"/>
      <c r="D77" s="197"/>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row>
    <row r="78" spans="1:30" x14ac:dyDescent="0.3">
      <c r="A78" s="195"/>
      <c r="B78" s="195"/>
      <c r="C78" s="195"/>
      <c r="D78" s="197"/>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row>
    <row r="79" spans="1:30" x14ac:dyDescent="0.3">
      <c r="A79" s="195"/>
      <c r="B79" s="218" t="s">
        <v>17</v>
      </c>
      <c r="C79" s="218"/>
      <c r="D79" s="218"/>
      <c r="E79" s="218"/>
      <c r="F79" s="218"/>
      <c r="G79" s="218"/>
      <c r="H79" s="218"/>
      <c r="I79" s="218"/>
      <c r="J79" s="218"/>
      <c r="K79" s="218"/>
      <c r="L79" s="218"/>
      <c r="M79" s="218"/>
      <c r="N79" s="218"/>
      <c r="O79" s="195"/>
      <c r="P79" s="195"/>
      <c r="Q79" s="195"/>
      <c r="R79" s="195"/>
      <c r="S79" s="195"/>
      <c r="T79" s="195"/>
      <c r="U79" s="195"/>
      <c r="V79" s="195"/>
      <c r="W79" s="195"/>
      <c r="X79" s="195"/>
      <c r="Y79" s="195"/>
      <c r="Z79" s="195"/>
      <c r="AA79" s="195"/>
      <c r="AB79" s="195"/>
      <c r="AC79" s="195"/>
      <c r="AD79" s="195"/>
    </row>
    <row r="80" spans="1:30" x14ac:dyDescent="0.3">
      <c r="A80" s="195"/>
      <c r="B80" s="195" t="s">
        <v>49</v>
      </c>
      <c r="C80" s="195">
        <v>1</v>
      </c>
      <c r="D80" s="195">
        <v>2</v>
      </c>
      <c r="E80" s="195">
        <v>3</v>
      </c>
      <c r="F80" s="195" t="s">
        <v>114</v>
      </c>
      <c r="G80" s="195">
        <v>5</v>
      </c>
      <c r="H80" s="195">
        <v>6</v>
      </c>
      <c r="I80" s="195">
        <v>7</v>
      </c>
      <c r="J80" s="195">
        <v>8</v>
      </c>
      <c r="K80" s="195">
        <v>9</v>
      </c>
      <c r="L80" s="195">
        <v>10</v>
      </c>
      <c r="M80" s="195">
        <v>11</v>
      </c>
      <c r="N80" s="195">
        <v>12</v>
      </c>
      <c r="O80" s="195"/>
      <c r="P80" s="195"/>
      <c r="Q80" s="195" t="s">
        <v>115</v>
      </c>
      <c r="R80" s="195"/>
      <c r="S80" s="195"/>
      <c r="T80" s="195"/>
      <c r="U80" s="195"/>
      <c r="V80" s="195"/>
      <c r="W80" s="195"/>
      <c r="X80" s="195"/>
      <c r="Y80" s="195"/>
      <c r="Z80" s="195"/>
      <c r="AA80" s="195"/>
      <c r="AB80" s="195"/>
      <c r="AC80" s="195"/>
      <c r="AD80" s="195"/>
    </row>
    <row r="81" spans="1:30" x14ac:dyDescent="0.3">
      <c r="A81" s="195"/>
      <c r="B81" s="195" t="s">
        <v>63</v>
      </c>
      <c r="C81" s="197">
        <f>D66</f>
        <v>60</v>
      </c>
      <c r="D81" s="197">
        <f>D66</f>
        <v>60</v>
      </c>
      <c r="E81" s="197">
        <f>D66</f>
        <v>60</v>
      </c>
      <c r="F81" s="197">
        <f>F66</f>
        <v>27.835051546391753</v>
      </c>
      <c r="G81" s="197">
        <f>H66</f>
        <v>15.151515151515152</v>
      </c>
      <c r="H81" s="197">
        <f>J66</f>
        <v>48.214285714285715</v>
      </c>
      <c r="I81" s="197">
        <f>L66</f>
        <v>71.739130434782609</v>
      </c>
      <c r="J81" s="197">
        <f>N66</f>
        <v>70.114942528735639</v>
      </c>
      <c r="K81" s="197">
        <f>P66</f>
        <v>39.705882352941174</v>
      </c>
      <c r="L81" s="197">
        <f>R66</f>
        <v>28.865979381443296</v>
      </c>
      <c r="M81" s="197">
        <f>R66</f>
        <v>28.865979381443296</v>
      </c>
      <c r="N81" s="197">
        <f>R66</f>
        <v>28.865979381443296</v>
      </c>
      <c r="O81" s="195"/>
      <c r="P81" s="195"/>
      <c r="Q81" s="195"/>
      <c r="R81" s="195"/>
      <c r="S81" s="195"/>
      <c r="T81" s="195"/>
      <c r="U81" s="195"/>
      <c r="V81" s="195"/>
      <c r="W81" s="195"/>
      <c r="X81" s="195"/>
      <c r="Y81" s="195"/>
      <c r="Z81" s="195"/>
      <c r="AA81" s="195"/>
      <c r="AB81" s="195"/>
      <c r="AC81" s="195"/>
      <c r="AD81" s="195"/>
    </row>
    <row r="82" spans="1:30" x14ac:dyDescent="0.3">
      <c r="A82" s="195"/>
      <c r="B82" s="195">
        <v>14</v>
      </c>
      <c r="C82" s="197">
        <f t="shared" ref="C82:C88" si="32">D67</f>
        <v>0</v>
      </c>
      <c r="D82" s="197">
        <f t="shared" ref="D82:D88" si="33">D67</f>
        <v>0</v>
      </c>
      <c r="E82" s="197">
        <f t="shared" ref="E82:E88" si="34">D67</f>
        <v>0</v>
      </c>
      <c r="F82" s="197">
        <f t="shared" ref="F82:F88" si="35">F67</f>
        <v>0</v>
      </c>
      <c r="G82" s="197">
        <f t="shared" ref="G82:G88" si="36">H67</f>
        <v>0</v>
      </c>
      <c r="H82" s="197">
        <f t="shared" ref="H82:H88" si="37">J67</f>
        <v>0</v>
      </c>
      <c r="I82" s="197">
        <f t="shared" ref="I82:I88" si="38">L67</f>
        <v>0</v>
      </c>
      <c r="J82" s="197">
        <f t="shared" ref="J82:J88" si="39">N67</f>
        <v>0</v>
      </c>
      <c r="K82" s="197">
        <f t="shared" ref="K82:K88" si="40">P67</f>
        <v>0</v>
      </c>
      <c r="L82" s="197">
        <f t="shared" ref="L82:L88" si="41">R67</f>
        <v>0</v>
      </c>
      <c r="M82" s="197">
        <f t="shared" ref="M82:M88" si="42">R67</f>
        <v>0</v>
      </c>
      <c r="N82" s="197">
        <f t="shared" ref="N82:N88" si="43">R67</f>
        <v>0</v>
      </c>
      <c r="O82" s="195"/>
      <c r="P82" s="195"/>
      <c r="Q82" s="195"/>
      <c r="R82" s="195"/>
      <c r="S82" s="195"/>
      <c r="T82" s="195"/>
      <c r="U82" s="195"/>
      <c r="V82" s="195"/>
      <c r="W82" s="195"/>
      <c r="X82" s="195"/>
      <c r="Y82" s="195"/>
      <c r="Z82" s="195"/>
      <c r="AA82" s="195"/>
      <c r="AB82" s="195"/>
      <c r="AC82" s="195"/>
      <c r="AD82" s="195"/>
    </row>
    <row r="83" spans="1:30" x14ac:dyDescent="0.3">
      <c r="A83" s="195"/>
      <c r="B83" s="195">
        <v>15</v>
      </c>
      <c r="C83" s="197">
        <f t="shared" si="32"/>
        <v>28.571428571428569</v>
      </c>
      <c r="D83" s="197">
        <f t="shared" si="33"/>
        <v>28.571428571428569</v>
      </c>
      <c r="E83" s="197">
        <f t="shared" si="34"/>
        <v>28.571428571428569</v>
      </c>
      <c r="F83" s="197">
        <f t="shared" si="35"/>
        <v>25.773195876288657</v>
      </c>
      <c r="G83" s="197">
        <f t="shared" si="36"/>
        <v>22.727272727272727</v>
      </c>
      <c r="H83" s="197">
        <f t="shared" si="37"/>
        <v>7.1428571428571423</v>
      </c>
      <c r="I83" s="197">
        <f t="shared" si="38"/>
        <v>14.130434782608695</v>
      </c>
      <c r="J83" s="197">
        <f t="shared" si="39"/>
        <v>18.390804597701148</v>
      </c>
      <c r="K83" s="197">
        <f t="shared" si="40"/>
        <v>16.176470588235293</v>
      </c>
      <c r="L83" s="197">
        <f t="shared" si="41"/>
        <v>23.711340206185564</v>
      </c>
      <c r="M83" s="197">
        <f t="shared" si="42"/>
        <v>23.711340206185564</v>
      </c>
      <c r="N83" s="197">
        <f t="shared" si="43"/>
        <v>23.711340206185564</v>
      </c>
      <c r="O83" s="195"/>
      <c r="P83" s="195"/>
      <c r="Q83" s="195"/>
      <c r="R83" s="195"/>
      <c r="S83" s="195"/>
      <c r="T83" s="195"/>
      <c r="U83" s="195"/>
      <c r="V83" s="195"/>
      <c r="W83" s="195"/>
      <c r="X83" s="195"/>
      <c r="Y83" s="195"/>
      <c r="Z83" s="195"/>
      <c r="AA83" s="195"/>
      <c r="AB83" s="195"/>
      <c r="AC83" s="195"/>
      <c r="AD83" s="195"/>
    </row>
    <row r="84" spans="1:30" x14ac:dyDescent="0.3">
      <c r="A84" s="195"/>
      <c r="B84" s="195">
        <v>16</v>
      </c>
      <c r="C84" s="197">
        <f t="shared" si="32"/>
        <v>40</v>
      </c>
      <c r="D84" s="197">
        <f t="shared" si="33"/>
        <v>40</v>
      </c>
      <c r="E84" s="197">
        <f t="shared" si="34"/>
        <v>40</v>
      </c>
      <c r="F84" s="197">
        <f t="shared" si="35"/>
        <v>49.484536082474229</v>
      </c>
      <c r="G84" s="197">
        <f t="shared" si="36"/>
        <v>51.515151515151516</v>
      </c>
      <c r="H84" s="197">
        <f t="shared" si="37"/>
        <v>17.857142857142858</v>
      </c>
      <c r="I84" s="197">
        <f t="shared" si="38"/>
        <v>16.304347826086957</v>
      </c>
      <c r="J84" s="197">
        <f t="shared" si="39"/>
        <v>26.436781609195403</v>
      </c>
      <c r="K84" s="197">
        <f t="shared" si="40"/>
        <v>28.676470588235293</v>
      </c>
      <c r="L84" s="197">
        <f t="shared" si="41"/>
        <v>40.206185567010309</v>
      </c>
      <c r="M84" s="197">
        <f t="shared" si="42"/>
        <v>40.206185567010309</v>
      </c>
      <c r="N84" s="197">
        <f t="shared" si="43"/>
        <v>40.206185567010309</v>
      </c>
      <c r="O84" s="195"/>
      <c r="P84" s="195"/>
      <c r="Q84" s="195"/>
      <c r="R84" s="195"/>
      <c r="S84" s="195"/>
      <c r="T84" s="195"/>
      <c r="U84" s="195"/>
      <c r="V84" s="195"/>
      <c r="W84" s="195"/>
      <c r="X84" s="195"/>
      <c r="Y84" s="195"/>
      <c r="Z84" s="195"/>
      <c r="AA84" s="195"/>
      <c r="AB84" s="195"/>
      <c r="AC84" s="195"/>
      <c r="AD84" s="195"/>
    </row>
    <row r="85" spans="1:30" x14ac:dyDescent="0.3">
      <c r="A85" s="195"/>
      <c r="B85" s="195">
        <v>17</v>
      </c>
      <c r="C85" s="197">
        <f t="shared" si="32"/>
        <v>40</v>
      </c>
      <c r="D85" s="197">
        <f t="shared" si="33"/>
        <v>40</v>
      </c>
      <c r="E85" s="197">
        <f t="shared" si="34"/>
        <v>40</v>
      </c>
      <c r="F85" s="197">
        <f t="shared" si="35"/>
        <v>62.886597938144327</v>
      </c>
      <c r="G85" s="197">
        <f t="shared" si="36"/>
        <v>71.212121212121218</v>
      </c>
      <c r="H85" s="197">
        <f t="shared" si="37"/>
        <v>26.785714285714285</v>
      </c>
      <c r="I85" s="197">
        <f t="shared" si="38"/>
        <v>16.304347826086957</v>
      </c>
      <c r="J85" s="197">
        <f t="shared" si="39"/>
        <v>29.885057471264371</v>
      </c>
      <c r="K85" s="197">
        <f t="shared" si="40"/>
        <v>47.058823529411761</v>
      </c>
      <c r="L85" s="197">
        <f t="shared" si="41"/>
        <v>44.329896907216494</v>
      </c>
      <c r="M85" s="197">
        <f t="shared" si="42"/>
        <v>44.329896907216494</v>
      </c>
      <c r="N85" s="197">
        <f t="shared" si="43"/>
        <v>44.329896907216494</v>
      </c>
      <c r="O85" s="195"/>
      <c r="P85" s="195"/>
      <c r="Q85" s="195"/>
      <c r="R85" s="195"/>
      <c r="S85" s="195"/>
      <c r="T85" s="195"/>
      <c r="U85" s="195"/>
      <c r="V85" s="195"/>
      <c r="W85" s="195"/>
      <c r="X85" s="195"/>
      <c r="Y85" s="195"/>
      <c r="Z85" s="195"/>
      <c r="AA85" s="195"/>
      <c r="AB85" s="195"/>
      <c r="AC85" s="195"/>
      <c r="AD85" s="195"/>
    </row>
    <row r="86" spans="1:30" x14ac:dyDescent="0.3">
      <c r="A86" s="195"/>
      <c r="B86" s="195">
        <v>18</v>
      </c>
      <c r="C86" s="197">
        <f t="shared" si="32"/>
        <v>40</v>
      </c>
      <c r="D86" s="197">
        <f t="shared" si="33"/>
        <v>40</v>
      </c>
      <c r="E86" s="197">
        <f t="shared" si="34"/>
        <v>40</v>
      </c>
      <c r="F86" s="197">
        <f t="shared" si="35"/>
        <v>72.164948453608247</v>
      </c>
      <c r="G86" s="197">
        <f t="shared" si="36"/>
        <v>84.848484848484844</v>
      </c>
      <c r="H86" s="197">
        <f t="shared" si="37"/>
        <v>39.285714285714285</v>
      </c>
      <c r="I86" s="197">
        <f t="shared" si="38"/>
        <v>21.739130434782609</v>
      </c>
      <c r="J86" s="197">
        <f t="shared" si="39"/>
        <v>29.885057471264371</v>
      </c>
      <c r="K86" s="197">
        <f t="shared" si="40"/>
        <v>50.735294117647058</v>
      </c>
      <c r="L86" s="197">
        <f t="shared" si="41"/>
        <v>57.731958762886592</v>
      </c>
      <c r="M86" s="197">
        <f t="shared" si="42"/>
        <v>57.731958762886592</v>
      </c>
      <c r="N86" s="197">
        <f t="shared" si="43"/>
        <v>57.731958762886592</v>
      </c>
      <c r="O86" s="195"/>
      <c r="P86" s="195"/>
      <c r="Q86" s="195"/>
      <c r="R86" s="195"/>
      <c r="S86" s="195"/>
      <c r="T86" s="195"/>
      <c r="U86" s="195"/>
      <c r="V86" s="195"/>
      <c r="W86" s="195"/>
      <c r="X86" s="195"/>
      <c r="Y86" s="195"/>
      <c r="Z86" s="195"/>
      <c r="AA86" s="195"/>
      <c r="AB86" s="195"/>
      <c r="AC86" s="195"/>
      <c r="AD86" s="195"/>
    </row>
    <row r="87" spans="1:30" x14ac:dyDescent="0.3">
      <c r="A87" s="195"/>
      <c r="B87" s="195">
        <v>19</v>
      </c>
      <c r="C87" s="197">
        <f t="shared" si="32"/>
        <v>40</v>
      </c>
      <c r="D87" s="197">
        <f t="shared" si="33"/>
        <v>40</v>
      </c>
      <c r="E87" s="197">
        <f t="shared" si="34"/>
        <v>40</v>
      </c>
      <c r="F87" s="197">
        <f t="shared" si="35"/>
        <v>72.164948453608247</v>
      </c>
      <c r="G87" s="197">
        <f t="shared" si="36"/>
        <v>84.848484848484844</v>
      </c>
      <c r="H87" s="197">
        <f t="shared" si="37"/>
        <v>51.785714285714292</v>
      </c>
      <c r="I87" s="197">
        <f t="shared" si="38"/>
        <v>27.173913043478258</v>
      </c>
      <c r="J87" s="197">
        <f t="shared" si="39"/>
        <v>29.885057471264371</v>
      </c>
      <c r="K87" s="197">
        <f t="shared" si="40"/>
        <v>50.735294117647058</v>
      </c>
      <c r="L87" s="197">
        <f t="shared" si="41"/>
        <v>57.731958762886592</v>
      </c>
      <c r="M87" s="197">
        <f t="shared" si="42"/>
        <v>57.731958762886592</v>
      </c>
      <c r="N87" s="197">
        <f t="shared" si="43"/>
        <v>57.731958762886592</v>
      </c>
      <c r="O87" s="195"/>
      <c r="P87" s="195"/>
      <c r="Q87" s="195"/>
      <c r="R87" s="195"/>
      <c r="S87" s="195"/>
      <c r="T87" s="195"/>
      <c r="U87" s="195"/>
      <c r="V87" s="195"/>
      <c r="W87" s="195"/>
      <c r="X87" s="195"/>
      <c r="Y87" s="195"/>
      <c r="Z87" s="195"/>
      <c r="AA87" s="195"/>
      <c r="AB87" s="195"/>
      <c r="AC87" s="195"/>
      <c r="AD87" s="195"/>
    </row>
    <row r="88" spans="1:30" x14ac:dyDescent="0.3">
      <c r="A88" s="195"/>
      <c r="B88" s="195">
        <v>20</v>
      </c>
      <c r="C88" s="197">
        <f t="shared" si="32"/>
        <v>40</v>
      </c>
      <c r="D88" s="197">
        <f t="shared" si="33"/>
        <v>40</v>
      </c>
      <c r="E88" s="197">
        <f t="shared" si="34"/>
        <v>40</v>
      </c>
      <c r="F88" s="197">
        <f t="shared" si="35"/>
        <v>72.164948453608247</v>
      </c>
      <c r="G88" s="197">
        <f t="shared" si="36"/>
        <v>84.848484848484844</v>
      </c>
      <c r="H88" s="197">
        <f t="shared" si="37"/>
        <v>51.785714285714292</v>
      </c>
      <c r="I88" s="197">
        <f t="shared" si="38"/>
        <v>27.173913043478258</v>
      </c>
      <c r="J88" s="197">
        <f t="shared" si="39"/>
        <v>29.885057471264371</v>
      </c>
      <c r="K88" s="197">
        <f t="shared" si="40"/>
        <v>50.735294117647058</v>
      </c>
      <c r="L88" s="197">
        <f t="shared" si="41"/>
        <v>62.886597938144327</v>
      </c>
      <c r="M88" s="197">
        <f t="shared" si="42"/>
        <v>62.886597938144327</v>
      </c>
      <c r="N88" s="197">
        <f t="shared" si="43"/>
        <v>62.886597938144327</v>
      </c>
      <c r="O88" s="195"/>
      <c r="P88" s="195"/>
      <c r="Q88" s="195"/>
      <c r="R88" s="195"/>
      <c r="S88" s="195"/>
      <c r="T88" s="195"/>
      <c r="U88" s="195"/>
      <c r="V88" s="195"/>
      <c r="W88" s="195"/>
      <c r="X88" s="195"/>
      <c r="Y88" s="195"/>
      <c r="Z88" s="195"/>
      <c r="AA88" s="195"/>
      <c r="AB88" s="195"/>
      <c r="AC88" s="195"/>
      <c r="AD88" s="195"/>
    </row>
    <row r="89" spans="1:30" x14ac:dyDescent="0.3">
      <c r="A89" s="195"/>
      <c r="B89" s="195"/>
      <c r="C89" s="195"/>
      <c r="D89" s="195"/>
      <c r="E89" s="195"/>
      <c r="F89" s="50"/>
      <c r="G89" s="50"/>
      <c r="H89" s="50"/>
      <c r="I89" s="50"/>
      <c r="J89" s="50"/>
      <c r="K89" s="50"/>
      <c r="L89" s="195"/>
      <c r="M89" s="195"/>
      <c r="N89" s="195"/>
      <c r="O89" s="195"/>
      <c r="P89" s="195"/>
      <c r="Q89" s="195"/>
      <c r="R89" s="195"/>
      <c r="S89" s="195"/>
      <c r="T89" s="195"/>
      <c r="U89" s="195"/>
      <c r="V89" s="195"/>
      <c r="W89" s="195"/>
      <c r="X89" s="195"/>
      <c r="Y89" s="195"/>
      <c r="Z89" s="195"/>
      <c r="AA89" s="195"/>
      <c r="AB89" s="195"/>
      <c r="AC89" s="195"/>
      <c r="AD89" s="195"/>
    </row>
  </sheetData>
  <conditionalFormatting sqref="Z6:AB6 D6 F6:H6 K6:X6">
    <cfRule type="cellIs" dxfId="3" priority="13" operator="lessThan">
      <formula>30</formula>
    </cfRule>
  </conditionalFormatting>
  <conditionalFormatting sqref="H20 J20 L20 N20 P20">
    <cfRule type="cellIs" dxfId="2" priority="5" operator="lessThan">
      <formula>30</formula>
    </cfRule>
  </conditionalFormatting>
  <conditionalFormatting sqref="Z50:AB50 D50 F50:H50 K50:X50">
    <cfRule type="cellIs" dxfId="1" priority="4" operator="lessThan">
      <formula>30</formula>
    </cfRule>
  </conditionalFormatting>
  <conditionalFormatting sqref="G65:P65">
    <cfRule type="cellIs" dxfId="0" priority="3" operator="lessThan">
      <formula>30</formula>
    </cfRule>
  </conditionalFormatting>
  <conditionalFormatting sqref="C36:N43">
    <cfRule type="colorScale" priority="2">
      <colorScale>
        <cfvo type="min"/>
        <cfvo type="max"/>
        <color rgb="FFFFEF9C"/>
        <color rgb="FFFF7128"/>
      </colorScale>
    </cfRule>
  </conditionalFormatting>
  <conditionalFormatting sqref="C81:N88">
    <cfRule type="colorScale" priority="1">
      <colorScale>
        <cfvo type="min"/>
        <cfvo type="max"/>
        <color rgb="FFFFEF9C"/>
        <color rgb="FFFF7128"/>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H155"/>
  <sheetViews>
    <sheetView topLeftCell="B112" zoomScale="70" zoomScaleNormal="70" workbookViewId="0">
      <selection activeCell="AU46" sqref="AU46"/>
    </sheetView>
  </sheetViews>
  <sheetFormatPr defaultColWidth="9.109375" defaultRowHeight="14.4" x14ac:dyDescent="0.3"/>
  <cols>
    <col min="1" max="16384" width="9.109375" style="195"/>
  </cols>
  <sheetData>
    <row r="1" spans="1:30" x14ac:dyDescent="0.3">
      <c r="A1" s="226"/>
      <c r="B1" s="226"/>
      <c r="C1" s="226"/>
      <c r="D1" s="226"/>
      <c r="E1" s="226" t="s">
        <v>88</v>
      </c>
      <c r="F1" s="226"/>
      <c r="G1" s="226"/>
      <c r="H1" s="226"/>
      <c r="I1" s="226"/>
      <c r="J1" s="226"/>
      <c r="K1" s="226"/>
      <c r="L1" s="226"/>
      <c r="M1" s="226"/>
      <c r="N1" s="226"/>
      <c r="O1" s="226"/>
      <c r="P1" s="226"/>
      <c r="Q1" s="226"/>
      <c r="R1" s="226"/>
      <c r="S1" s="226"/>
      <c r="T1" s="226"/>
      <c r="U1" s="226"/>
      <c r="V1" s="226"/>
      <c r="W1" s="226"/>
      <c r="X1" s="226"/>
      <c r="Y1" s="226"/>
      <c r="Z1" s="226"/>
      <c r="AA1" s="226"/>
      <c r="AB1" s="226"/>
    </row>
    <row r="3" spans="1:30" x14ac:dyDescent="0.3">
      <c r="B3" s="195" t="s">
        <v>44</v>
      </c>
      <c r="C3" s="195">
        <v>1</v>
      </c>
      <c r="E3" s="195">
        <v>2</v>
      </c>
      <c r="G3" s="195">
        <v>3</v>
      </c>
      <c r="I3" s="195">
        <v>4</v>
      </c>
      <c r="K3" s="195">
        <v>5</v>
      </c>
      <c r="M3" s="195">
        <v>6</v>
      </c>
      <c r="O3" s="195">
        <v>7</v>
      </c>
      <c r="Q3" s="195">
        <v>8</v>
      </c>
      <c r="S3" s="195">
        <v>9</v>
      </c>
      <c r="U3" s="195">
        <v>10</v>
      </c>
      <c r="W3" s="195">
        <v>11</v>
      </c>
      <c r="Y3" s="195">
        <v>12</v>
      </c>
      <c r="AA3" s="195" t="s">
        <v>51</v>
      </c>
    </row>
    <row r="4" spans="1:30" x14ac:dyDescent="0.3">
      <c r="B4" s="195" t="s">
        <v>45</v>
      </c>
      <c r="C4" s="195" t="s">
        <v>81</v>
      </c>
      <c r="E4" s="195" t="s">
        <v>81</v>
      </c>
      <c r="G4" s="195" t="s">
        <v>81</v>
      </c>
      <c r="I4" s="195" t="s">
        <v>81</v>
      </c>
      <c r="K4" s="195" t="s">
        <v>81</v>
      </c>
      <c r="M4" s="195" t="s">
        <v>81</v>
      </c>
      <c r="O4" s="195" t="s">
        <v>81</v>
      </c>
      <c r="Q4" s="195" t="s">
        <v>81</v>
      </c>
      <c r="S4" s="195" t="s">
        <v>81</v>
      </c>
      <c r="U4" s="195" t="s">
        <v>81</v>
      </c>
      <c r="W4" s="195" t="s">
        <v>81</v>
      </c>
      <c r="Y4" s="195" t="s">
        <v>81</v>
      </c>
      <c r="AA4" s="195" t="s">
        <v>81</v>
      </c>
    </row>
    <row r="5" spans="1:30" x14ac:dyDescent="0.3">
      <c r="A5" s="195" t="s">
        <v>13</v>
      </c>
      <c r="B5" s="195" t="s">
        <v>52</v>
      </c>
      <c r="C5" s="195">
        <v>659</v>
      </c>
      <c r="D5" s="195">
        <v>100</v>
      </c>
      <c r="E5" s="144">
        <v>1008</v>
      </c>
      <c r="F5" s="195">
        <v>100</v>
      </c>
      <c r="G5" s="144">
        <v>2763</v>
      </c>
      <c r="H5" s="195">
        <v>100</v>
      </c>
      <c r="I5" s="144">
        <v>3878</v>
      </c>
      <c r="J5" s="195">
        <v>100</v>
      </c>
      <c r="K5" s="144">
        <v>4621</v>
      </c>
      <c r="L5" s="195">
        <v>100</v>
      </c>
      <c r="M5" s="144">
        <v>7360</v>
      </c>
      <c r="N5" s="195">
        <v>100</v>
      </c>
      <c r="O5" s="144">
        <v>5571</v>
      </c>
      <c r="P5" s="195">
        <v>100</v>
      </c>
      <c r="Q5" s="144">
        <v>3865</v>
      </c>
      <c r="R5" s="195">
        <v>100</v>
      </c>
      <c r="S5" s="144">
        <v>2539</v>
      </c>
      <c r="T5" s="195">
        <v>100</v>
      </c>
      <c r="U5" s="144">
        <v>3615</v>
      </c>
      <c r="V5" s="195">
        <v>100</v>
      </c>
      <c r="W5" s="144">
        <v>1337</v>
      </c>
      <c r="X5" s="195">
        <v>100</v>
      </c>
      <c r="Y5" s="195">
        <v>595</v>
      </c>
      <c r="Z5" s="195">
        <v>100</v>
      </c>
      <c r="AA5" s="144">
        <v>37811</v>
      </c>
      <c r="AB5" s="195" t="s">
        <v>28</v>
      </c>
    </row>
    <row r="6" spans="1:30" x14ac:dyDescent="0.3">
      <c r="B6" s="195">
        <v>20</v>
      </c>
      <c r="C6" s="195">
        <v>0</v>
      </c>
      <c r="D6" s="195">
        <v>0</v>
      </c>
      <c r="E6" s="195">
        <v>0</v>
      </c>
      <c r="F6" s="195">
        <v>0</v>
      </c>
      <c r="G6" s="195">
        <v>0</v>
      </c>
      <c r="H6" s="195">
        <v>0</v>
      </c>
      <c r="I6" s="195">
        <v>0</v>
      </c>
      <c r="J6" s="195">
        <v>0</v>
      </c>
      <c r="K6" s="195">
        <v>0</v>
      </c>
      <c r="L6" s="195">
        <v>0</v>
      </c>
      <c r="M6" s="195">
        <v>0</v>
      </c>
      <c r="N6" s="195">
        <v>0</v>
      </c>
      <c r="O6" s="195">
        <v>0</v>
      </c>
      <c r="P6" s="195">
        <v>0</v>
      </c>
      <c r="Q6" s="195">
        <v>0</v>
      </c>
      <c r="R6" s="195">
        <v>0</v>
      </c>
      <c r="S6" s="195">
        <v>0</v>
      </c>
      <c r="T6" s="195">
        <v>0</v>
      </c>
      <c r="U6" s="195">
        <v>0</v>
      </c>
      <c r="V6" s="195">
        <v>0</v>
      </c>
      <c r="W6" s="195">
        <v>0</v>
      </c>
      <c r="X6" s="195">
        <v>0</v>
      </c>
      <c r="Y6" s="195">
        <v>0</v>
      </c>
      <c r="Z6" s="195">
        <v>0</v>
      </c>
      <c r="AA6" s="195">
        <v>0</v>
      </c>
      <c r="AB6" s="195">
        <v>0</v>
      </c>
      <c r="AD6" s="195">
        <f>C6+E6+G6+I6+K6+M6+O6+Q6+S6+U6+W6+Y6</f>
        <v>0</v>
      </c>
    </row>
    <row r="7" spans="1:30" x14ac:dyDescent="0.3">
      <c r="B7" s="195">
        <v>19</v>
      </c>
      <c r="C7" s="195">
        <v>0</v>
      </c>
      <c r="D7" s="195">
        <v>0</v>
      </c>
      <c r="E7" s="195">
        <v>0</v>
      </c>
      <c r="F7" s="195">
        <v>0</v>
      </c>
      <c r="G7" s="195">
        <v>0</v>
      </c>
      <c r="H7" s="195">
        <v>0</v>
      </c>
      <c r="I7" s="195">
        <v>0</v>
      </c>
      <c r="J7" s="195">
        <v>0</v>
      </c>
      <c r="K7" s="195">
        <v>0</v>
      </c>
      <c r="L7" s="195">
        <v>0</v>
      </c>
      <c r="M7" s="195">
        <v>0</v>
      </c>
      <c r="N7" s="195">
        <v>0</v>
      </c>
      <c r="O7" s="195">
        <v>0</v>
      </c>
      <c r="P7" s="195">
        <v>0</v>
      </c>
      <c r="Q7" s="195">
        <v>0</v>
      </c>
      <c r="R7" s="195">
        <v>0</v>
      </c>
      <c r="S7" s="195">
        <v>0</v>
      </c>
      <c r="T7" s="195">
        <v>0</v>
      </c>
      <c r="U7" s="195">
        <v>0</v>
      </c>
      <c r="V7" s="195">
        <v>0</v>
      </c>
      <c r="W7" s="195">
        <v>0</v>
      </c>
      <c r="X7" s="195">
        <v>0</v>
      </c>
      <c r="Y7" s="195">
        <v>0</v>
      </c>
      <c r="Z7" s="195">
        <v>0</v>
      </c>
      <c r="AA7" s="195">
        <v>0</v>
      </c>
      <c r="AB7" s="195">
        <v>0</v>
      </c>
    </row>
    <row r="8" spans="1:30" x14ac:dyDescent="0.3">
      <c r="B8" s="195">
        <v>18</v>
      </c>
      <c r="C8" s="195">
        <v>0</v>
      </c>
      <c r="D8" s="195">
        <v>0</v>
      </c>
      <c r="E8" s="195">
        <v>0</v>
      </c>
      <c r="F8" s="195">
        <v>0</v>
      </c>
      <c r="G8" s="195">
        <v>0</v>
      </c>
      <c r="H8" s="195">
        <v>0</v>
      </c>
      <c r="I8" s="195">
        <v>0</v>
      </c>
      <c r="J8" s="195">
        <v>0</v>
      </c>
      <c r="K8" s="195">
        <v>0</v>
      </c>
      <c r="L8" s="195">
        <v>0</v>
      </c>
      <c r="M8" s="195">
        <v>0</v>
      </c>
      <c r="N8" s="195">
        <v>0</v>
      </c>
      <c r="O8" s="195">
        <v>0</v>
      </c>
      <c r="P8" s="195">
        <v>0</v>
      </c>
      <c r="Q8" s="195">
        <v>0</v>
      </c>
      <c r="R8" s="195">
        <v>0</v>
      </c>
      <c r="S8" s="195">
        <v>0</v>
      </c>
      <c r="T8" s="195">
        <v>0</v>
      </c>
      <c r="U8" s="195">
        <v>0</v>
      </c>
      <c r="V8" s="195">
        <v>0</v>
      </c>
      <c r="W8" s="195">
        <v>0</v>
      </c>
      <c r="X8" s="195">
        <v>0</v>
      </c>
      <c r="Y8" s="195">
        <v>0</v>
      </c>
      <c r="Z8" s="195">
        <v>0</v>
      </c>
      <c r="AA8" s="195">
        <v>0</v>
      </c>
      <c r="AB8" s="195">
        <v>0</v>
      </c>
    </row>
    <row r="9" spans="1:30" x14ac:dyDescent="0.3">
      <c r="B9" s="195">
        <v>17</v>
      </c>
      <c r="C9" s="195">
        <v>0</v>
      </c>
      <c r="D9" s="195">
        <v>0</v>
      </c>
      <c r="E9" s="195">
        <v>0</v>
      </c>
      <c r="F9" s="195">
        <v>0</v>
      </c>
      <c r="G9" s="195">
        <v>0</v>
      </c>
      <c r="H9" s="195">
        <v>0</v>
      </c>
      <c r="I9" s="195">
        <v>0</v>
      </c>
      <c r="J9" s="195">
        <v>0</v>
      </c>
      <c r="K9" s="195">
        <v>0</v>
      </c>
      <c r="L9" s="195">
        <v>0</v>
      </c>
      <c r="M9" s="195">
        <v>0</v>
      </c>
      <c r="N9" s="195">
        <v>0</v>
      </c>
      <c r="O9" s="195">
        <v>0</v>
      </c>
      <c r="P9" s="195">
        <v>0</v>
      </c>
      <c r="Q9" s="195">
        <v>0</v>
      </c>
      <c r="R9" s="195">
        <v>0</v>
      </c>
      <c r="S9" s="195">
        <v>0</v>
      </c>
      <c r="T9" s="195">
        <v>0</v>
      </c>
      <c r="U9" s="195">
        <v>0</v>
      </c>
      <c r="V9" s="195">
        <v>0</v>
      </c>
      <c r="W9" s="195">
        <v>0</v>
      </c>
      <c r="X9" s="195">
        <v>0</v>
      </c>
      <c r="Y9" s="195">
        <v>0</v>
      </c>
      <c r="Z9" s="195">
        <v>0</v>
      </c>
      <c r="AA9" s="195">
        <v>0</v>
      </c>
      <c r="AB9" s="195">
        <v>0</v>
      </c>
    </row>
    <row r="10" spans="1:30" x14ac:dyDescent="0.3">
      <c r="B10" s="195">
        <v>16</v>
      </c>
      <c r="C10" s="195">
        <v>0</v>
      </c>
      <c r="D10" s="195">
        <v>0</v>
      </c>
      <c r="E10" s="195">
        <v>0</v>
      </c>
      <c r="F10" s="195">
        <v>0</v>
      </c>
      <c r="G10" s="195">
        <v>0</v>
      </c>
      <c r="H10" s="195">
        <v>0</v>
      </c>
      <c r="I10" s="195">
        <v>0</v>
      </c>
      <c r="J10" s="195">
        <v>0</v>
      </c>
      <c r="K10" s="195">
        <v>0</v>
      </c>
      <c r="L10" s="195">
        <v>0</v>
      </c>
      <c r="M10" s="195">
        <v>0</v>
      </c>
      <c r="N10" s="195">
        <v>0</v>
      </c>
      <c r="O10" s="195">
        <v>0</v>
      </c>
      <c r="P10" s="195">
        <v>0</v>
      </c>
      <c r="Q10" s="195">
        <v>0</v>
      </c>
      <c r="R10" s="195">
        <v>0</v>
      </c>
      <c r="S10" s="195">
        <v>0</v>
      </c>
      <c r="T10" s="195">
        <v>0</v>
      </c>
      <c r="U10" s="195">
        <v>0</v>
      </c>
      <c r="V10" s="195">
        <v>0</v>
      </c>
      <c r="W10" s="195">
        <v>0</v>
      </c>
      <c r="X10" s="195">
        <v>0</v>
      </c>
      <c r="Y10" s="195">
        <v>0</v>
      </c>
      <c r="Z10" s="195">
        <v>0</v>
      </c>
      <c r="AA10" s="195">
        <v>0</v>
      </c>
      <c r="AB10" s="195">
        <v>0</v>
      </c>
    </row>
    <row r="11" spans="1:30" x14ac:dyDescent="0.3">
      <c r="B11" s="195">
        <v>15</v>
      </c>
      <c r="C11" s="195">
        <v>0</v>
      </c>
      <c r="D11" s="195">
        <v>0</v>
      </c>
      <c r="E11" s="195">
        <v>0</v>
      </c>
      <c r="F11" s="195">
        <v>0</v>
      </c>
      <c r="G11" s="195">
        <v>0</v>
      </c>
      <c r="H11" s="195">
        <v>0</v>
      </c>
      <c r="I11" s="195">
        <v>0</v>
      </c>
      <c r="J11" s="195">
        <v>0</v>
      </c>
      <c r="K11" s="195">
        <v>0</v>
      </c>
      <c r="L11" s="195">
        <v>0</v>
      </c>
      <c r="M11" s="195">
        <v>0</v>
      </c>
      <c r="N11" s="195">
        <v>0</v>
      </c>
      <c r="O11" s="195">
        <v>0</v>
      </c>
      <c r="P11" s="195">
        <v>0</v>
      </c>
      <c r="Q11" s="195">
        <v>0</v>
      </c>
      <c r="R11" s="195">
        <v>0</v>
      </c>
      <c r="S11" s="195">
        <v>0</v>
      </c>
      <c r="T11" s="195">
        <v>0</v>
      </c>
      <c r="U11" s="195">
        <v>0</v>
      </c>
      <c r="V11" s="195">
        <v>0</v>
      </c>
      <c r="W11" s="195">
        <v>0</v>
      </c>
      <c r="X11" s="195">
        <v>0</v>
      </c>
      <c r="Y11" s="195">
        <v>0</v>
      </c>
      <c r="Z11" s="195">
        <v>0</v>
      </c>
      <c r="AA11" s="195">
        <v>0</v>
      </c>
      <c r="AB11" s="195">
        <v>0</v>
      </c>
    </row>
    <row r="12" spans="1:30" x14ac:dyDescent="0.3">
      <c r="B12" s="195">
        <v>14</v>
      </c>
      <c r="C12" s="195">
        <v>0</v>
      </c>
      <c r="D12" s="195">
        <v>0</v>
      </c>
      <c r="E12" s="195">
        <v>0</v>
      </c>
      <c r="F12" s="195">
        <v>0</v>
      </c>
      <c r="G12" s="195">
        <v>0</v>
      </c>
      <c r="H12" s="195">
        <v>0</v>
      </c>
      <c r="I12" s="195">
        <v>0</v>
      </c>
      <c r="J12" s="195">
        <v>0</v>
      </c>
      <c r="K12" s="195">
        <v>0</v>
      </c>
      <c r="L12" s="195">
        <v>0</v>
      </c>
      <c r="M12" s="195">
        <v>0</v>
      </c>
      <c r="N12" s="195">
        <v>0</v>
      </c>
      <c r="O12" s="195">
        <v>0</v>
      </c>
      <c r="P12" s="195">
        <v>0</v>
      </c>
      <c r="Q12" s="195">
        <v>0</v>
      </c>
      <c r="R12" s="195">
        <v>0</v>
      </c>
      <c r="S12" s="195">
        <v>0</v>
      </c>
      <c r="T12" s="195">
        <v>0</v>
      </c>
      <c r="U12" s="195">
        <v>0</v>
      </c>
      <c r="V12" s="195">
        <v>0</v>
      </c>
      <c r="W12" s="195">
        <v>0</v>
      </c>
      <c r="X12" s="195">
        <v>0</v>
      </c>
      <c r="Y12" s="195">
        <v>0</v>
      </c>
      <c r="Z12" s="195">
        <v>0</v>
      </c>
      <c r="AA12" s="195">
        <v>0</v>
      </c>
      <c r="AB12" s="195">
        <v>0</v>
      </c>
    </row>
    <row r="13" spans="1:30" x14ac:dyDescent="0.3">
      <c r="B13" s="195">
        <v>13</v>
      </c>
      <c r="C13" s="195">
        <v>0</v>
      </c>
      <c r="D13" s="195">
        <v>0</v>
      </c>
      <c r="E13" s="195">
        <v>0</v>
      </c>
      <c r="F13" s="195">
        <v>0</v>
      </c>
      <c r="G13" s="195">
        <v>0</v>
      </c>
      <c r="H13" s="195">
        <v>0</v>
      </c>
      <c r="I13" s="195">
        <v>0</v>
      </c>
      <c r="J13" s="195">
        <v>0</v>
      </c>
      <c r="K13" s="195">
        <v>0</v>
      </c>
      <c r="L13" s="195">
        <v>0</v>
      </c>
      <c r="M13" s="195">
        <v>0</v>
      </c>
      <c r="N13" s="195">
        <v>0</v>
      </c>
      <c r="O13" s="195">
        <v>0</v>
      </c>
      <c r="P13" s="195">
        <v>0</v>
      </c>
      <c r="Q13" s="195">
        <v>0</v>
      </c>
      <c r="R13" s="195">
        <v>0</v>
      </c>
      <c r="S13" s="195">
        <v>0</v>
      </c>
      <c r="T13" s="195">
        <v>0</v>
      </c>
      <c r="U13" s="195">
        <v>0</v>
      </c>
      <c r="V13" s="195">
        <v>0</v>
      </c>
      <c r="W13" s="195">
        <v>0</v>
      </c>
      <c r="X13" s="195">
        <v>0</v>
      </c>
      <c r="Y13" s="195">
        <v>0</v>
      </c>
      <c r="Z13" s="195">
        <v>0</v>
      </c>
      <c r="AA13" s="195">
        <v>0</v>
      </c>
      <c r="AB13" s="195">
        <v>0</v>
      </c>
    </row>
    <row r="14" spans="1:30" x14ac:dyDescent="0.3">
      <c r="B14" s="195">
        <v>12</v>
      </c>
      <c r="C14" s="195">
        <v>0</v>
      </c>
      <c r="D14" s="195">
        <v>0</v>
      </c>
      <c r="E14" s="195">
        <v>0</v>
      </c>
      <c r="F14" s="195">
        <v>0</v>
      </c>
      <c r="G14" s="195">
        <v>0</v>
      </c>
      <c r="H14" s="195">
        <v>0</v>
      </c>
      <c r="I14" s="195">
        <v>0</v>
      </c>
      <c r="J14" s="195">
        <v>0</v>
      </c>
      <c r="K14" s="195">
        <v>0</v>
      </c>
      <c r="L14" s="195">
        <v>0</v>
      </c>
      <c r="M14" s="195">
        <v>0</v>
      </c>
      <c r="N14" s="195">
        <v>0</v>
      </c>
      <c r="O14" s="195">
        <v>0</v>
      </c>
      <c r="P14" s="195">
        <v>0</v>
      </c>
      <c r="Q14" s="195">
        <v>0</v>
      </c>
      <c r="R14" s="195">
        <v>0</v>
      </c>
      <c r="S14" s="195">
        <v>0</v>
      </c>
      <c r="T14" s="195">
        <v>0</v>
      </c>
      <c r="U14" s="195">
        <v>0</v>
      </c>
      <c r="V14" s="195">
        <v>0</v>
      </c>
      <c r="W14" s="195">
        <v>0</v>
      </c>
      <c r="X14" s="195">
        <v>0</v>
      </c>
      <c r="Y14" s="195">
        <v>0</v>
      </c>
      <c r="Z14" s="195">
        <v>0</v>
      </c>
      <c r="AA14" s="195">
        <v>0</v>
      </c>
      <c r="AB14" s="50">
        <v>0</v>
      </c>
    </row>
    <row r="15" spans="1:30" x14ac:dyDescent="0.3">
      <c r="B15" s="195">
        <v>11</v>
      </c>
      <c r="C15" s="195">
        <v>0</v>
      </c>
      <c r="D15" s="195">
        <v>0</v>
      </c>
      <c r="E15" s="195">
        <v>0</v>
      </c>
      <c r="F15" s="195">
        <v>0</v>
      </c>
      <c r="G15" s="195">
        <v>0</v>
      </c>
      <c r="H15" s="195">
        <v>0</v>
      </c>
      <c r="I15" s="195">
        <v>0</v>
      </c>
      <c r="J15" s="195">
        <v>0</v>
      </c>
      <c r="K15" s="195">
        <v>0</v>
      </c>
      <c r="L15" s="195">
        <v>0</v>
      </c>
      <c r="M15" s="195">
        <v>0</v>
      </c>
      <c r="N15" s="195">
        <v>0</v>
      </c>
      <c r="O15" s="195">
        <v>0</v>
      </c>
      <c r="P15" s="195">
        <v>0</v>
      </c>
      <c r="Q15" s="195">
        <v>0</v>
      </c>
      <c r="R15" s="195">
        <v>0</v>
      </c>
      <c r="S15" s="195">
        <v>0</v>
      </c>
      <c r="T15" s="195">
        <v>0</v>
      </c>
      <c r="U15" s="195">
        <v>0</v>
      </c>
      <c r="V15" s="195">
        <v>0</v>
      </c>
      <c r="W15" s="195">
        <v>0</v>
      </c>
      <c r="X15" s="195">
        <v>0</v>
      </c>
      <c r="Y15" s="195">
        <v>0</v>
      </c>
      <c r="Z15" s="195">
        <v>0</v>
      </c>
      <c r="AA15" s="195">
        <v>0</v>
      </c>
      <c r="AB15" s="50">
        <v>0</v>
      </c>
    </row>
    <row r="16" spans="1:30" x14ac:dyDescent="0.3">
      <c r="B16" s="195">
        <v>10</v>
      </c>
      <c r="C16" s="195">
        <v>0</v>
      </c>
      <c r="D16" s="195">
        <v>0</v>
      </c>
      <c r="E16" s="195">
        <v>0</v>
      </c>
      <c r="F16" s="195">
        <v>0</v>
      </c>
      <c r="G16" s="195">
        <v>0</v>
      </c>
      <c r="H16" s="195">
        <v>0</v>
      </c>
      <c r="I16" s="195">
        <v>0</v>
      </c>
      <c r="J16" s="195">
        <v>0</v>
      </c>
      <c r="K16" s="195">
        <v>0</v>
      </c>
      <c r="L16" s="195">
        <v>0</v>
      </c>
      <c r="M16" s="195">
        <v>0</v>
      </c>
      <c r="N16" s="195">
        <v>0</v>
      </c>
      <c r="O16" s="195">
        <v>0</v>
      </c>
      <c r="P16" s="195">
        <v>0</v>
      </c>
      <c r="Q16" s="195">
        <v>0</v>
      </c>
      <c r="R16" s="195">
        <v>0</v>
      </c>
      <c r="S16" s="195">
        <v>0</v>
      </c>
      <c r="T16" s="195">
        <v>0</v>
      </c>
      <c r="U16" s="195">
        <v>0</v>
      </c>
      <c r="V16" s="195">
        <v>0</v>
      </c>
      <c r="W16" s="195">
        <v>0</v>
      </c>
      <c r="X16" s="195">
        <v>0</v>
      </c>
      <c r="Y16" s="195">
        <v>0</v>
      </c>
      <c r="Z16" s="195">
        <v>0</v>
      </c>
      <c r="AA16" s="195">
        <v>0</v>
      </c>
      <c r="AB16" s="195">
        <v>0.31559963931469792</v>
      </c>
    </row>
    <row r="17" spans="2:49" x14ac:dyDescent="0.3">
      <c r="B17" s="195">
        <v>9</v>
      </c>
      <c r="C17" s="195">
        <v>0</v>
      </c>
      <c r="D17" s="195">
        <v>0</v>
      </c>
      <c r="E17" s="195">
        <v>0</v>
      </c>
      <c r="F17" s="195">
        <v>0</v>
      </c>
      <c r="G17" s="195">
        <v>0</v>
      </c>
      <c r="H17" s="195">
        <v>0</v>
      </c>
      <c r="I17" s="195">
        <v>0</v>
      </c>
      <c r="J17" s="195">
        <v>0</v>
      </c>
      <c r="K17" s="195">
        <v>0</v>
      </c>
      <c r="L17" s="195">
        <v>0</v>
      </c>
      <c r="M17" s="195">
        <v>0</v>
      </c>
      <c r="N17" s="195">
        <v>0</v>
      </c>
      <c r="O17" s="195">
        <v>0</v>
      </c>
      <c r="P17" s="195">
        <v>0</v>
      </c>
      <c r="Q17" s="195">
        <v>0</v>
      </c>
      <c r="R17" s="195">
        <v>0</v>
      </c>
      <c r="S17" s="195">
        <v>0</v>
      </c>
      <c r="T17" s="195">
        <v>0</v>
      </c>
      <c r="U17" s="195">
        <v>0</v>
      </c>
      <c r="V17" s="195">
        <v>0</v>
      </c>
      <c r="W17" s="195">
        <v>0</v>
      </c>
      <c r="X17" s="195">
        <v>0</v>
      </c>
      <c r="Y17" s="195">
        <v>0</v>
      </c>
      <c r="Z17" s="195">
        <v>0</v>
      </c>
      <c r="AA17" s="195">
        <v>0</v>
      </c>
      <c r="AB17" s="195">
        <v>0.67628494138863837</v>
      </c>
    </row>
    <row r="18" spans="2:49" x14ac:dyDescent="0.3">
      <c r="B18" s="195">
        <v>8</v>
      </c>
      <c r="C18" s="195">
        <v>0</v>
      </c>
      <c r="D18" s="195">
        <v>0</v>
      </c>
      <c r="E18" s="195">
        <v>0</v>
      </c>
      <c r="F18" s="195">
        <v>0</v>
      </c>
      <c r="G18" s="195">
        <v>0</v>
      </c>
      <c r="H18" s="195">
        <v>0</v>
      </c>
      <c r="I18" s="195">
        <v>0</v>
      </c>
      <c r="J18" s="195">
        <v>0</v>
      </c>
      <c r="K18" s="195">
        <v>0</v>
      </c>
      <c r="L18" s="195">
        <v>0</v>
      </c>
      <c r="M18" s="195">
        <v>0</v>
      </c>
      <c r="N18" s="195">
        <v>0</v>
      </c>
      <c r="O18" s="195">
        <v>0</v>
      </c>
      <c r="P18" s="195">
        <v>0</v>
      </c>
      <c r="Q18" s="195">
        <v>0</v>
      </c>
      <c r="R18" s="195">
        <v>0</v>
      </c>
      <c r="S18" s="195">
        <v>0</v>
      </c>
      <c r="T18" s="195">
        <v>0</v>
      </c>
      <c r="U18" s="195">
        <v>0</v>
      </c>
      <c r="V18" s="195">
        <v>0</v>
      </c>
      <c r="W18" s="195">
        <v>0</v>
      </c>
      <c r="X18" s="195">
        <v>0</v>
      </c>
      <c r="Y18" s="195">
        <v>0</v>
      </c>
      <c r="Z18" s="195">
        <v>0</v>
      </c>
      <c r="AA18" s="195">
        <v>0</v>
      </c>
      <c r="AB18" s="195">
        <v>1.0369702434625787</v>
      </c>
    </row>
    <row r="19" spans="2:49" x14ac:dyDescent="0.3">
      <c r="B19" s="195">
        <v>7</v>
      </c>
      <c r="C19" s="195">
        <v>0</v>
      </c>
      <c r="D19" s="195">
        <v>0</v>
      </c>
      <c r="E19" s="195">
        <v>0</v>
      </c>
      <c r="F19" s="195">
        <v>0</v>
      </c>
      <c r="G19" s="195">
        <v>0</v>
      </c>
      <c r="H19" s="195">
        <v>0</v>
      </c>
      <c r="I19" s="195">
        <v>0</v>
      </c>
      <c r="J19" s="195">
        <v>0</v>
      </c>
      <c r="K19" s="195">
        <v>0</v>
      </c>
      <c r="L19" s="195">
        <v>0</v>
      </c>
      <c r="M19" s="195">
        <v>0</v>
      </c>
      <c r="N19" s="195">
        <v>0</v>
      </c>
      <c r="O19" s="195">
        <v>0</v>
      </c>
      <c r="P19" s="195">
        <v>0</v>
      </c>
      <c r="Q19" s="195">
        <v>0</v>
      </c>
      <c r="R19" s="195">
        <v>0</v>
      </c>
      <c r="S19" s="195">
        <v>0</v>
      </c>
      <c r="T19" s="195">
        <v>0</v>
      </c>
      <c r="U19" s="195">
        <v>0</v>
      </c>
      <c r="V19" s="195">
        <v>0</v>
      </c>
      <c r="W19" s="195">
        <v>0</v>
      </c>
      <c r="X19" s="195">
        <v>0</v>
      </c>
      <c r="Y19" s="195">
        <v>0</v>
      </c>
      <c r="Z19" s="195">
        <v>0</v>
      </c>
      <c r="AA19" s="195">
        <v>0</v>
      </c>
      <c r="AB19" s="195">
        <v>1.3976555455365194</v>
      </c>
    </row>
    <row r="20" spans="2:49" x14ac:dyDescent="0.3">
      <c r="B20" s="195">
        <v>6</v>
      </c>
      <c r="C20" s="195">
        <v>0</v>
      </c>
      <c r="D20" s="195">
        <v>0</v>
      </c>
      <c r="E20" s="195">
        <v>0</v>
      </c>
      <c r="F20" s="195">
        <v>0</v>
      </c>
      <c r="G20" s="195">
        <v>0</v>
      </c>
      <c r="H20" s="195">
        <v>0</v>
      </c>
      <c r="I20" s="195">
        <v>0</v>
      </c>
      <c r="J20" s="195">
        <v>0</v>
      </c>
      <c r="K20" s="195">
        <v>0</v>
      </c>
      <c r="L20" s="195">
        <v>0</v>
      </c>
      <c r="M20" s="195">
        <v>0</v>
      </c>
      <c r="N20" s="195">
        <v>0</v>
      </c>
      <c r="O20" s="195">
        <v>0</v>
      </c>
      <c r="P20" s="195">
        <v>0</v>
      </c>
      <c r="Q20" s="195">
        <v>0</v>
      </c>
      <c r="R20" s="195">
        <v>0</v>
      </c>
      <c r="S20" s="195">
        <v>0</v>
      </c>
      <c r="T20" s="195">
        <v>0</v>
      </c>
      <c r="U20" s="195">
        <v>0</v>
      </c>
      <c r="V20" s="195">
        <v>0</v>
      </c>
      <c r="W20" s="195">
        <v>0</v>
      </c>
      <c r="X20" s="195">
        <v>0</v>
      </c>
      <c r="Y20" s="195">
        <v>0</v>
      </c>
      <c r="Z20" s="195">
        <v>0</v>
      </c>
      <c r="AA20" s="195">
        <v>0</v>
      </c>
      <c r="AB20" s="195">
        <v>1.8034265103697025</v>
      </c>
    </row>
    <row r="21" spans="2:49" x14ac:dyDescent="0.3">
      <c r="B21" s="195">
        <v>5</v>
      </c>
      <c r="C21" s="195">
        <v>0</v>
      </c>
      <c r="D21" s="195">
        <v>0</v>
      </c>
      <c r="E21" s="195">
        <v>0</v>
      </c>
      <c r="F21" s="195">
        <v>0</v>
      </c>
      <c r="G21" s="195">
        <v>0</v>
      </c>
      <c r="H21" s="195">
        <v>0</v>
      </c>
      <c r="I21" s="195">
        <v>0</v>
      </c>
      <c r="J21" s="195">
        <v>0</v>
      </c>
      <c r="K21" s="195">
        <v>0</v>
      </c>
      <c r="L21" s="195">
        <v>0</v>
      </c>
      <c r="M21" s="195">
        <v>0</v>
      </c>
      <c r="N21" s="195">
        <v>0</v>
      </c>
      <c r="O21" s="195">
        <v>0</v>
      </c>
      <c r="P21" s="195">
        <v>0</v>
      </c>
      <c r="Q21" s="195">
        <v>0</v>
      </c>
      <c r="R21" s="195">
        <v>0</v>
      </c>
      <c r="S21" s="195">
        <v>0</v>
      </c>
      <c r="T21" s="195">
        <v>0</v>
      </c>
      <c r="U21" s="195">
        <v>0</v>
      </c>
      <c r="V21" s="195">
        <v>0</v>
      </c>
      <c r="W21" s="195">
        <v>0</v>
      </c>
      <c r="X21" s="195">
        <v>0</v>
      </c>
      <c r="Y21" s="195">
        <v>0</v>
      </c>
      <c r="Z21" s="195">
        <v>0</v>
      </c>
      <c r="AA21" s="195">
        <v>0</v>
      </c>
      <c r="AB21" s="195">
        <v>2.479711451758341</v>
      </c>
    </row>
    <row r="22" spans="2:49" x14ac:dyDescent="0.3">
      <c r="B22" s="195">
        <v>4</v>
      </c>
      <c r="C22" s="195">
        <v>0</v>
      </c>
      <c r="D22" s="195">
        <v>0</v>
      </c>
      <c r="E22" s="195">
        <v>0</v>
      </c>
      <c r="F22" s="195">
        <v>0</v>
      </c>
      <c r="G22" s="195">
        <v>0</v>
      </c>
      <c r="H22" s="195">
        <v>0</v>
      </c>
      <c r="I22" s="195">
        <v>0</v>
      </c>
      <c r="J22" s="195">
        <v>0</v>
      </c>
      <c r="K22" s="195">
        <v>4</v>
      </c>
      <c r="L22" s="195">
        <v>0.1</v>
      </c>
      <c r="M22" s="195">
        <v>1</v>
      </c>
      <c r="N22" s="195">
        <v>0</v>
      </c>
      <c r="O22" s="195">
        <v>0</v>
      </c>
      <c r="P22" s="195">
        <v>0</v>
      </c>
      <c r="Q22" s="195">
        <v>6</v>
      </c>
      <c r="R22" s="195">
        <v>0.2</v>
      </c>
      <c r="S22" s="195">
        <v>0</v>
      </c>
      <c r="T22" s="195">
        <v>0</v>
      </c>
      <c r="U22" s="195">
        <v>0</v>
      </c>
      <c r="V22" s="195">
        <v>0</v>
      </c>
      <c r="W22" s="195">
        <v>0</v>
      </c>
      <c r="X22" s="195">
        <v>0</v>
      </c>
      <c r="Y22" s="195">
        <v>0</v>
      </c>
      <c r="Z22" s="195">
        <v>0</v>
      </c>
      <c r="AA22" s="195">
        <v>11</v>
      </c>
      <c r="AB22" s="195">
        <v>3.3363390441839496</v>
      </c>
    </row>
    <row r="23" spans="2:49" x14ac:dyDescent="0.3">
      <c r="B23" s="195">
        <v>3</v>
      </c>
      <c r="C23" s="195">
        <v>0</v>
      </c>
      <c r="D23" s="195">
        <v>0</v>
      </c>
      <c r="E23" s="195">
        <v>0</v>
      </c>
      <c r="F23" s="195">
        <v>0</v>
      </c>
      <c r="G23" s="195">
        <v>0</v>
      </c>
      <c r="H23" s="195">
        <v>0</v>
      </c>
      <c r="I23" s="195">
        <v>0</v>
      </c>
      <c r="J23" s="195">
        <v>0</v>
      </c>
      <c r="K23" s="195">
        <v>14</v>
      </c>
      <c r="L23" s="195">
        <v>0.3</v>
      </c>
      <c r="M23" s="195">
        <v>13</v>
      </c>
      <c r="N23" s="195">
        <v>0.2</v>
      </c>
      <c r="O23" s="195">
        <v>0</v>
      </c>
      <c r="P23" s="195">
        <v>0</v>
      </c>
      <c r="Q23" s="195">
        <v>32</v>
      </c>
      <c r="R23" s="195">
        <v>0.8</v>
      </c>
      <c r="S23" s="195">
        <v>0</v>
      </c>
      <c r="T23" s="195">
        <v>0</v>
      </c>
      <c r="U23" s="195">
        <v>1</v>
      </c>
      <c r="V23" s="195">
        <v>0</v>
      </c>
      <c r="W23" s="195">
        <v>0</v>
      </c>
      <c r="X23" s="195">
        <v>0</v>
      </c>
      <c r="Y23" s="195">
        <v>0</v>
      </c>
      <c r="Z23" s="195">
        <v>0</v>
      </c>
      <c r="AA23" s="195">
        <v>60</v>
      </c>
      <c r="AB23" s="195">
        <v>5.0946798917944101</v>
      </c>
    </row>
    <row r="24" spans="2:49" x14ac:dyDescent="0.3">
      <c r="B24" s="195">
        <v>2</v>
      </c>
      <c r="C24" s="195">
        <v>0</v>
      </c>
      <c r="D24" s="195">
        <v>0</v>
      </c>
      <c r="E24" s="195">
        <v>4</v>
      </c>
      <c r="F24" s="195">
        <v>0.4</v>
      </c>
      <c r="G24" s="195">
        <v>2</v>
      </c>
      <c r="H24" s="195">
        <v>0.1</v>
      </c>
      <c r="I24" s="195">
        <v>30</v>
      </c>
      <c r="J24" s="195">
        <v>0.8</v>
      </c>
      <c r="K24" s="195">
        <v>52</v>
      </c>
      <c r="L24" s="195">
        <v>1.1000000000000001</v>
      </c>
      <c r="M24" s="195">
        <v>71</v>
      </c>
      <c r="N24" s="195">
        <v>1</v>
      </c>
      <c r="O24" s="195">
        <v>12</v>
      </c>
      <c r="P24" s="195">
        <v>0.2</v>
      </c>
      <c r="Q24" s="195">
        <v>67</v>
      </c>
      <c r="R24" s="195">
        <v>1.7</v>
      </c>
      <c r="S24" s="195">
        <v>35</v>
      </c>
      <c r="T24" s="195">
        <v>1.4</v>
      </c>
      <c r="U24" s="195">
        <v>22</v>
      </c>
      <c r="V24" s="195">
        <v>0.6</v>
      </c>
      <c r="W24" s="195">
        <v>8</v>
      </c>
      <c r="X24" s="195">
        <v>0.6</v>
      </c>
      <c r="Y24" s="195">
        <v>0</v>
      </c>
      <c r="Z24" s="195">
        <v>0</v>
      </c>
      <c r="AA24" s="195">
        <v>303</v>
      </c>
      <c r="AB24" s="195">
        <v>10.009017132551849</v>
      </c>
    </row>
    <row r="25" spans="2:49" x14ac:dyDescent="0.3">
      <c r="B25" s="195">
        <v>1</v>
      </c>
      <c r="C25" s="195">
        <v>0</v>
      </c>
      <c r="D25" s="195">
        <v>0</v>
      </c>
      <c r="E25" s="195">
        <v>53</v>
      </c>
      <c r="F25" s="195">
        <v>5.3</v>
      </c>
      <c r="G25" s="195">
        <v>123</v>
      </c>
      <c r="H25" s="195">
        <v>4.5</v>
      </c>
      <c r="I25" s="195">
        <v>185</v>
      </c>
      <c r="J25" s="195">
        <v>4.8</v>
      </c>
      <c r="K25" s="195">
        <v>237</v>
      </c>
      <c r="L25" s="195">
        <v>5.0999999999999996</v>
      </c>
      <c r="M25" s="195">
        <v>243</v>
      </c>
      <c r="N25" s="195">
        <v>3.3</v>
      </c>
      <c r="O25" s="195">
        <v>97</v>
      </c>
      <c r="P25" s="195">
        <v>1.7</v>
      </c>
      <c r="Q25" s="195">
        <v>158</v>
      </c>
      <c r="R25" s="195">
        <v>4.0999999999999996</v>
      </c>
      <c r="S25" s="195">
        <v>186</v>
      </c>
      <c r="T25" s="195">
        <v>7.3</v>
      </c>
      <c r="U25" s="195">
        <v>133</v>
      </c>
      <c r="V25" s="195">
        <v>3.7</v>
      </c>
      <c r="W25" s="195">
        <v>82</v>
      </c>
      <c r="X25" s="195">
        <v>6.1</v>
      </c>
      <c r="Y25" s="195">
        <v>28</v>
      </c>
      <c r="Z25" s="195">
        <v>4.7</v>
      </c>
      <c r="AA25" s="144">
        <v>1525</v>
      </c>
      <c r="AB25" s="195">
        <v>25.293056807935077</v>
      </c>
    </row>
    <row r="28" spans="2:49" x14ac:dyDescent="0.3">
      <c r="C28" s="196" t="s">
        <v>93</v>
      </c>
      <c r="E28" s="195" t="s">
        <v>94</v>
      </c>
      <c r="G28" s="195" t="s">
        <v>4</v>
      </c>
      <c r="I28" s="195" t="s">
        <v>95</v>
      </c>
      <c r="K28" s="195" t="s">
        <v>96</v>
      </c>
      <c r="M28" s="195" t="s">
        <v>7</v>
      </c>
      <c r="O28" s="195" t="s">
        <v>8</v>
      </c>
      <c r="Q28" s="195" t="s">
        <v>97</v>
      </c>
      <c r="T28" s="195" t="s">
        <v>93</v>
      </c>
      <c r="U28" s="195" t="s">
        <v>94</v>
      </c>
      <c r="V28" s="195" t="s">
        <v>4</v>
      </c>
      <c r="W28" s="195" t="s">
        <v>95</v>
      </c>
      <c r="X28" s="195" t="s">
        <v>96</v>
      </c>
      <c r="Y28" s="195" t="s">
        <v>7</v>
      </c>
      <c r="Z28" s="195" t="s">
        <v>8</v>
      </c>
      <c r="AA28" s="195" t="s">
        <v>97</v>
      </c>
      <c r="AC28" s="195" t="s">
        <v>93</v>
      </c>
      <c r="AD28" s="195" t="s">
        <v>94</v>
      </c>
      <c r="AE28" s="195" t="s">
        <v>4</v>
      </c>
      <c r="AF28" s="195" t="s">
        <v>95</v>
      </c>
      <c r="AG28" s="195" t="s">
        <v>96</v>
      </c>
      <c r="AH28" s="195" t="s">
        <v>7</v>
      </c>
      <c r="AI28" s="195" t="s">
        <v>8</v>
      </c>
      <c r="AJ28" s="195" t="s">
        <v>97</v>
      </c>
      <c r="AL28" s="195" t="s">
        <v>116</v>
      </c>
      <c r="AM28" s="195" t="s">
        <v>117</v>
      </c>
      <c r="AN28" s="195" t="s">
        <v>118</v>
      </c>
      <c r="AO28" s="195" t="s">
        <v>119</v>
      </c>
      <c r="AP28" s="195" t="s">
        <v>120</v>
      </c>
      <c r="AQ28" s="195" t="s">
        <v>121</v>
      </c>
      <c r="AR28" s="195" t="s">
        <v>122</v>
      </c>
      <c r="AS28" s="195" t="s">
        <v>123</v>
      </c>
      <c r="AT28" s="195" t="s">
        <v>124</v>
      </c>
      <c r="AU28" s="195" t="s">
        <v>125</v>
      </c>
      <c r="AV28" s="195" t="s">
        <v>126</v>
      </c>
      <c r="AW28" s="195" t="s">
        <v>127</v>
      </c>
    </row>
    <row r="29" spans="2:49" x14ac:dyDescent="0.3">
      <c r="B29" s="195" t="s">
        <v>50</v>
      </c>
      <c r="C29" s="36" t="s">
        <v>67</v>
      </c>
      <c r="D29" s="36" t="s">
        <v>28</v>
      </c>
      <c r="E29" s="36" t="s">
        <v>67</v>
      </c>
      <c r="F29" s="36" t="s">
        <v>28</v>
      </c>
      <c r="G29" s="36" t="s">
        <v>67</v>
      </c>
      <c r="H29" s="36" t="s">
        <v>28</v>
      </c>
      <c r="I29" s="36" t="s">
        <v>67</v>
      </c>
      <c r="J29" s="36" t="s">
        <v>28</v>
      </c>
      <c r="K29" s="36" t="s">
        <v>67</v>
      </c>
      <c r="L29" s="36" t="s">
        <v>28</v>
      </c>
      <c r="M29" s="36" t="s">
        <v>67</v>
      </c>
      <c r="N29" s="36" t="s">
        <v>28</v>
      </c>
      <c r="O29" s="36" t="s">
        <v>67</v>
      </c>
      <c r="P29" s="36" t="s">
        <v>28</v>
      </c>
      <c r="Q29" s="36" t="s">
        <v>67</v>
      </c>
      <c r="R29" s="36" t="s">
        <v>28</v>
      </c>
      <c r="T29" s="195" t="s">
        <v>28</v>
      </c>
      <c r="U29" s="195" t="s">
        <v>28</v>
      </c>
      <c r="V29" s="195" t="s">
        <v>28</v>
      </c>
      <c r="W29" s="195" t="s">
        <v>28</v>
      </c>
      <c r="X29" s="195" t="s">
        <v>28</v>
      </c>
      <c r="Y29" s="195" t="s">
        <v>28</v>
      </c>
      <c r="Z29" s="195" t="s">
        <v>28</v>
      </c>
      <c r="AA29" s="195" t="s">
        <v>28</v>
      </c>
      <c r="AC29" s="195" t="s">
        <v>28</v>
      </c>
      <c r="AD29" s="195" t="s">
        <v>28</v>
      </c>
      <c r="AE29" s="195" t="s">
        <v>28</v>
      </c>
      <c r="AF29" s="195" t="s">
        <v>28</v>
      </c>
      <c r="AG29" s="195" t="s">
        <v>28</v>
      </c>
      <c r="AH29" s="195" t="s">
        <v>28</v>
      </c>
      <c r="AI29" s="195" t="s">
        <v>28</v>
      </c>
      <c r="AJ29" s="195" t="s">
        <v>28</v>
      </c>
    </row>
    <row r="30" spans="2:49" x14ac:dyDescent="0.3">
      <c r="B30" s="195" t="s">
        <v>49</v>
      </c>
      <c r="C30" s="144">
        <f>C5+E5+G5</f>
        <v>4430</v>
      </c>
      <c r="D30" s="36">
        <v>100</v>
      </c>
      <c r="E30" s="144">
        <f>I5</f>
        <v>3878</v>
      </c>
      <c r="F30" s="195">
        <v>100</v>
      </c>
      <c r="G30" s="144">
        <f>K5</f>
        <v>4621</v>
      </c>
      <c r="H30" s="195">
        <v>100</v>
      </c>
      <c r="I30" s="144">
        <f>M5</f>
        <v>7360</v>
      </c>
      <c r="J30" s="195">
        <v>100</v>
      </c>
      <c r="K30" s="144">
        <f>O5</f>
        <v>5571</v>
      </c>
      <c r="L30" s="195">
        <v>100</v>
      </c>
      <c r="M30" s="144">
        <f>Q5</f>
        <v>3865</v>
      </c>
      <c r="N30" s="195">
        <v>100</v>
      </c>
      <c r="O30" s="144">
        <f>S5</f>
        <v>2539</v>
      </c>
      <c r="P30" s="195">
        <v>100</v>
      </c>
      <c r="Q30" s="144">
        <f>U5+W5+Y5</f>
        <v>5547</v>
      </c>
      <c r="R30" s="201">
        <v>100</v>
      </c>
      <c r="T30" s="144">
        <f>D30</f>
        <v>100</v>
      </c>
      <c r="U30" s="144">
        <f>F30</f>
        <v>100</v>
      </c>
      <c r="V30" s="144">
        <f>H30</f>
        <v>100</v>
      </c>
      <c r="W30" s="144">
        <f>J30</f>
        <v>100</v>
      </c>
      <c r="X30" s="144">
        <f>L30</f>
        <v>100</v>
      </c>
      <c r="Y30" s="144">
        <f>N30</f>
        <v>100</v>
      </c>
      <c r="Z30" s="144">
        <f>P30</f>
        <v>100</v>
      </c>
      <c r="AA30" s="144">
        <f>R30</f>
        <v>100</v>
      </c>
      <c r="AC30" s="12">
        <f>T30/100</f>
        <v>1</v>
      </c>
      <c r="AD30" s="12">
        <f t="shared" ref="AD30:AD45" si="0">U30/100</f>
        <v>1</v>
      </c>
      <c r="AE30" s="12">
        <f t="shared" ref="AE30:AE45" si="1">V30/100</f>
        <v>1</v>
      </c>
      <c r="AF30" s="12">
        <f t="shared" ref="AF30:AF45" si="2">W30/100</f>
        <v>1</v>
      </c>
      <c r="AG30" s="12">
        <f t="shared" ref="AG30:AG45" si="3">X30/100</f>
        <v>1</v>
      </c>
      <c r="AH30" s="12">
        <f t="shared" ref="AH30:AH45" si="4">Y30/100</f>
        <v>1</v>
      </c>
      <c r="AI30" s="12">
        <f t="shared" ref="AI30:AI45" si="5">Z30/100</f>
        <v>1</v>
      </c>
      <c r="AJ30" s="12">
        <f t="shared" ref="AJ30:AJ45" si="6">AA30/100</f>
        <v>1</v>
      </c>
      <c r="AL30" s="13">
        <f>AC30</f>
        <v>1</v>
      </c>
      <c r="AM30" s="13">
        <f>AC30</f>
        <v>1</v>
      </c>
      <c r="AN30" s="13">
        <f>AC30</f>
        <v>1</v>
      </c>
      <c r="AO30" s="13">
        <f t="shared" ref="AO30:AT30" si="7">AD30</f>
        <v>1</v>
      </c>
      <c r="AP30" s="13">
        <f t="shared" si="7"/>
        <v>1</v>
      </c>
      <c r="AQ30" s="13">
        <f t="shared" si="7"/>
        <v>1</v>
      </c>
      <c r="AR30" s="13">
        <f t="shared" si="7"/>
        <v>1</v>
      </c>
      <c r="AS30" s="13">
        <f t="shared" si="7"/>
        <v>1</v>
      </c>
      <c r="AT30" s="13">
        <f t="shared" si="7"/>
        <v>1</v>
      </c>
      <c r="AU30" s="13">
        <f>AJ30</f>
        <v>1</v>
      </c>
      <c r="AV30" s="13">
        <f>AJ30</f>
        <v>1</v>
      </c>
      <c r="AW30" s="13">
        <f>AJ30</f>
        <v>1</v>
      </c>
    </row>
    <row r="31" spans="2:49" x14ac:dyDescent="0.3">
      <c r="B31" s="195">
        <v>20</v>
      </c>
      <c r="C31" s="144">
        <f>C6+E6+G6</f>
        <v>0</v>
      </c>
      <c r="D31" s="195">
        <f>(C31/C$30)*100</f>
        <v>0</v>
      </c>
      <c r="E31" s="144">
        <f t="shared" ref="E31:O50" si="8">I6</f>
        <v>0</v>
      </c>
      <c r="F31" s="195">
        <f>(E31/E$30)*100</f>
        <v>0</v>
      </c>
      <c r="G31" s="144">
        <f t="shared" si="8"/>
        <v>0</v>
      </c>
      <c r="H31" s="195">
        <f t="shared" ref="H31:H50" si="9">(G31/G$30)*100</f>
        <v>0</v>
      </c>
      <c r="I31" s="144">
        <f t="shared" si="8"/>
        <v>0</v>
      </c>
      <c r="J31" s="195">
        <f t="shared" ref="J31:J50" si="10">(I31/I$30)*100</f>
        <v>0</v>
      </c>
      <c r="K31" s="144">
        <f t="shared" si="8"/>
        <v>0</v>
      </c>
      <c r="L31" s="195">
        <f t="shared" ref="L31:L50" si="11">(K31/K$30)*100</f>
        <v>0</v>
      </c>
      <c r="M31" s="144">
        <f t="shared" si="8"/>
        <v>0</v>
      </c>
      <c r="N31" s="195">
        <f t="shared" ref="N31:N50" si="12">(M31/M$30)*100</f>
        <v>0</v>
      </c>
      <c r="O31" s="144">
        <f t="shared" si="8"/>
        <v>0</v>
      </c>
      <c r="P31" s="195">
        <f t="shared" ref="P31:P50" si="13">(O31/O$30)*100</f>
        <v>0</v>
      </c>
      <c r="Q31" s="144">
        <f t="shared" ref="Q31:Q50" si="14">U6+W6+Y6</f>
        <v>0</v>
      </c>
      <c r="R31" s="195">
        <f t="shared" ref="R31:R50" si="15">(Q31/Q$30)*100</f>
        <v>0</v>
      </c>
      <c r="T31" s="144">
        <f t="shared" ref="T31:T50" si="16">D31</f>
        <v>0</v>
      </c>
      <c r="U31" s="144">
        <f t="shared" ref="U31:U50" si="17">F31</f>
        <v>0</v>
      </c>
      <c r="V31" s="144">
        <f t="shared" ref="V31:V50" si="18">H31</f>
        <v>0</v>
      </c>
      <c r="W31" s="144">
        <f t="shared" ref="W31:W50" si="19">J31</f>
        <v>0</v>
      </c>
      <c r="X31" s="144">
        <f t="shared" ref="X31:X50" si="20">L31</f>
        <v>0</v>
      </c>
      <c r="Y31" s="144">
        <f t="shared" ref="Y31:Y50" si="21">N31</f>
        <v>0</v>
      </c>
      <c r="Z31" s="144">
        <f t="shared" ref="Z31:Z50" si="22">P31</f>
        <v>0</v>
      </c>
      <c r="AA31" s="144">
        <f t="shared" ref="AA31:AA50" si="23">R31</f>
        <v>0</v>
      </c>
      <c r="AC31" s="12">
        <f>T31/100</f>
        <v>0</v>
      </c>
      <c r="AD31" s="12">
        <f t="shared" si="0"/>
        <v>0</v>
      </c>
      <c r="AE31" s="12">
        <f t="shared" si="1"/>
        <v>0</v>
      </c>
      <c r="AF31" s="12">
        <f t="shared" si="2"/>
        <v>0</v>
      </c>
      <c r="AG31" s="12">
        <f t="shared" si="3"/>
        <v>0</v>
      </c>
      <c r="AH31" s="12">
        <f t="shared" si="4"/>
        <v>0</v>
      </c>
      <c r="AI31" s="12">
        <f t="shared" si="5"/>
        <v>0</v>
      </c>
      <c r="AJ31" s="12">
        <f t="shared" si="6"/>
        <v>0</v>
      </c>
      <c r="AL31" s="13">
        <f t="shared" ref="AL31:AL45" si="24">AC31</f>
        <v>0</v>
      </c>
      <c r="AM31" s="13">
        <f t="shared" ref="AM31:AM45" si="25">AC31</f>
        <v>0</v>
      </c>
      <c r="AN31" s="13">
        <f t="shared" ref="AN31:AN45" si="26">AC31</f>
        <v>0</v>
      </c>
      <c r="AO31" s="13">
        <f t="shared" ref="AO31:AO45" si="27">AD31</f>
        <v>0</v>
      </c>
      <c r="AP31" s="13">
        <f t="shared" ref="AP31:AP45" si="28">AE31</f>
        <v>0</v>
      </c>
      <c r="AQ31" s="13">
        <f t="shared" ref="AQ31:AQ45" si="29">AF31</f>
        <v>0</v>
      </c>
      <c r="AR31" s="13">
        <f t="shared" ref="AR31:AR45" si="30">AG31</f>
        <v>0</v>
      </c>
      <c r="AS31" s="13">
        <f t="shared" ref="AS31:AS45" si="31">AH31</f>
        <v>0</v>
      </c>
      <c r="AT31" s="13">
        <f t="shared" ref="AT31:AT45" si="32">AI31</f>
        <v>0</v>
      </c>
      <c r="AU31" s="13">
        <f t="shared" ref="AU31:AU45" si="33">AJ31</f>
        <v>0</v>
      </c>
      <c r="AV31" s="13">
        <f t="shared" ref="AV31:AV45" si="34">AJ31</f>
        <v>0</v>
      </c>
      <c r="AW31" s="13">
        <f t="shared" ref="AW31:AW45" si="35">AJ31</f>
        <v>0</v>
      </c>
    </row>
    <row r="32" spans="2:49" x14ac:dyDescent="0.3">
      <c r="B32" s="195">
        <v>19</v>
      </c>
      <c r="C32" s="144">
        <f t="shared" ref="C32:C50" si="36">C7+E7+G7</f>
        <v>0</v>
      </c>
      <c r="D32" s="195">
        <f t="shared" ref="D32:F50" si="37">(C32/C$30)*100</f>
        <v>0</v>
      </c>
      <c r="E32" s="144">
        <f t="shared" si="8"/>
        <v>0</v>
      </c>
      <c r="F32" s="195">
        <f t="shared" si="37"/>
        <v>0</v>
      </c>
      <c r="G32" s="144">
        <f t="shared" si="8"/>
        <v>0</v>
      </c>
      <c r="H32" s="195">
        <f t="shared" si="9"/>
        <v>0</v>
      </c>
      <c r="I32" s="144">
        <f t="shared" si="8"/>
        <v>0</v>
      </c>
      <c r="J32" s="195">
        <f t="shared" si="10"/>
        <v>0</v>
      </c>
      <c r="K32" s="144">
        <f t="shared" si="8"/>
        <v>0</v>
      </c>
      <c r="L32" s="195">
        <f t="shared" si="11"/>
        <v>0</v>
      </c>
      <c r="M32" s="144">
        <f t="shared" si="8"/>
        <v>0</v>
      </c>
      <c r="N32" s="195">
        <f t="shared" si="12"/>
        <v>0</v>
      </c>
      <c r="O32" s="144">
        <f t="shared" si="8"/>
        <v>0</v>
      </c>
      <c r="P32" s="195">
        <f t="shared" si="13"/>
        <v>0</v>
      </c>
      <c r="Q32" s="144">
        <f t="shared" si="14"/>
        <v>0</v>
      </c>
      <c r="R32" s="195">
        <f t="shared" si="15"/>
        <v>0</v>
      </c>
      <c r="T32" s="144">
        <f t="shared" si="16"/>
        <v>0</v>
      </c>
      <c r="U32" s="144">
        <f t="shared" si="17"/>
        <v>0</v>
      </c>
      <c r="V32" s="144">
        <f t="shared" si="18"/>
        <v>0</v>
      </c>
      <c r="W32" s="144">
        <f t="shared" si="19"/>
        <v>0</v>
      </c>
      <c r="X32" s="144">
        <f t="shared" si="20"/>
        <v>0</v>
      </c>
      <c r="Y32" s="144">
        <f t="shared" si="21"/>
        <v>0</v>
      </c>
      <c r="Z32" s="144">
        <f t="shared" si="22"/>
        <v>0</v>
      </c>
      <c r="AA32" s="144">
        <f t="shared" si="23"/>
        <v>0</v>
      </c>
      <c r="AC32" s="12">
        <f t="shared" ref="AC32:AC45" si="38">T32/100</f>
        <v>0</v>
      </c>
      <c r="AD32" s="12">
        <f t="shared" si="0"/>
        <v>0</v>
      </c>
      <c r="AE32" s="12">
        <f t="shared" si="1"/>
        <v>0</v>
      </c>
      <c r="AF32" s="12">
        <f t="shared" si="2"/>
        <v>0</v>
      </c>
      <c r="AG32" s="12">
        <f t="shared" si="3"/>
        <v>0</v>
      </c>
      <c r="AH32" s="12">
        <f t="shared" si="4"/>
        <v>0</v>
      </c>
      <c r="AI32" s="12">
        <f t="shared" si="5"/>
        <v>0</v>
      </c>
      <c r="AJ32" s="12">
        <f t="shared" si="6"/>
        <v>0</v>
      </c>
      <c r="AL32" s="13">
        <f t="shared" si="24"/>
        <v>0</v>
      </c>
      <c r="AM32" s="13">
        <f t="shared" si="25"/>
        <v>0</v>
      </c>
      <c r="AN32" s="13">
        <f t="shared" si="26"/>
        <v>0</v>
      </c>
      <c r="AO32" s="13">
        <f t="shared" si="27"/>
        <v>0</v>
      </c>
      <c r="AP32" s="13">
        <f t="shared" si="28"/>
        <v>0</v>
      </c>
      <c r="AQ32" s="13">
        <f t="shared" si="29"/>
        <v>0</v>
      </c>
      <c r="AR32" s="13">
        <f t="shared" si="30"/>
        <v>0</v>
      </c>
      <c r="AS32" s="13">
        <f t="shared" si="31"/>
        <v>0</v>
      </c>
      <c r="AT32" s="13">
        <f t="shared" si="32"/>
        <v>0</v>
      </c>
      <c r="AU32" s="13">
        <f t="shared" si="33"/>
        <v>0</v>
      </c>
      <c r="AV32" s="13">
        <f t="shared" si="34"/>
        <v>0</v>
      </c>
      <c r="AW32" s="13">
        <f t="shared" si="35"/>
        <v>0</v>
      </c>
    </row>
    <row r="33" spans="2:49" x14ac:dyDescent="0.3">
      <c r="B33" s="195">
        <v>18</v>
      </c>
      <c r="C33" s="144">
        <f t="shared" si="36"/>
        <v>0</v>
      </c>
      <c r="D33" s="195">
        <f t="shared" si="37"/>
        <v>0</v>
      </c>
      <c r="E33" s="144">
        <f t="shared" si="8"/>
        <v>0</v>
      </c>
      <c r="F33" s="195">
        <f t="shared" si="37"/>
        <v>0</v>
      </c>
      <c r="G33" s="144">
        <f t="shared" si="8"/>
        <v>0</v>
      </c>
      <c r="H33" s="195">
        <f t="shared" si="9"/>
        <v>0</v>
      </c>
      <c r="I33" s="144">
        <f t="shared" si="8"/>
        <v>0</v>
      </c>
      <c r="J33" s="195">
        <f t="shared" si="10"/>
        <v>0</v>
      </c>
      <c r="K33" s="144">
        <f t="shared" si="8"/>
        <v>0</v>
      </c>
      <c r="L33" s="195">
        <f t="shared" si="11"/>
        <v>0</v>
      </c>
      <c r="M33" s="144">
        <f t="shared" si="8"/>
        <v>0</v>
      </c>
      <c r="N33" s="195">
        <f t="shared" si="12"/>
        <v>0</v>
      </c>
      <c r="O33" s="144">
        <f t="shared" si="8"/>
        <v>0</v>
      </c>
      <c r="P33" s="195">
        <f t="shared" si="13"/>
        <v>0</v>
      </c>
      <c r="Q33" s="144">
        <f t="shared" si="14"/>
        <v>0</v>
      </c>
      <c r="R33" s="195">
        <f t="shared" si="15"/>
        <v>0</v>
      </c>
      <c r="T33" s="144">
        <f t="shared" si="16"/>
        <v>0</v>
      </c>
      <c r="U33" s="144">
        <f t="shared" si="17"/>
        <v>0</v>
      </c>
      <c r="V33" s="144">
        <f t="shared" si="18"/>
        <v>0</v>
      </c>
      <c r="W33" s="144">
        <f t="shared" si="19"/>
        <v>0</v>
      </c>
      <c r="X33" s="144">
        <f t="shared" si="20"/>
        <v>0</v>
      </c>
      <c r="Y33" s="144">
        <f t="shared" si="21"/>
        <v>0</v>
      </c>
      <c r="Z33" s="144">
        <f t="shared" si="22"/>
        <v>0</v>
      </c>
      <c r="AA33" s="144">
        <f t="shared" si="23"/>
        <v>0</v>
      </c>
      <c r="AC33" s="12">
        <f t="shared" si="38"/>
        <v>0</v>
      </c>
      <c r="AD33" s="12">
        <f t="shared" si="0"/>
        <v>0</v>
      </c>
      <c r="AE33" s="12">
        <f t="shared" si="1"/>
        <v>0</v>
      </c>
      <c r="AF33" s="12">
        <f t="shared" si="2"/>
        <v>0</v>
      </c>
      <c r="AG33" s="12">
        <f t="shared" si="3"/>
        <v>0</v>
      </c>
      <c r="AH33" s="12">
        <f t="shared" si="4"/>
        <v>0</v>
      </c>
      <c r="AI33" s="12">
        <f t="shared" si="5"/>
        <v>0</v>
      </c>
      <c r="AJ33" s="12">
        <f t="shared" si="6"/>
        <v>0</v>
      </c>
      <c r="AL33" s="13">
        <f t="shared" si="24"/>
        <v>0</v>
      </c>
      <c r="AM33" s="13">
        <f t="shared" si="25"/>
        <v>0</v>
      </c>
      <c r="AN33" s="13">
        <f t="shared" si="26"/>
        <v>0</v>
      </c>
      <c r="AO33" s="13">
        <f t="shared" si="27"/>
        <v>0</v>
      </c>
      <c r="AP33" s="13">
        <f t="shared" si="28"/>
        <v>0</v>
      </c>
      <c r="AQ33" s="13">
        <f t="shared" si="29"/>
        <v>0</v>
      </c>
      <c r="AR33" s="13">
        <f t="shared" si="30"/>
        <v>0</v>
      </c>
      <c r="AS33" s="13">
        <f t="shared" si="31"/>
        <v>0</v>
      </c>
      <c r="AT33" s="13">
        <f t="shared" si="32"/>
        <v>0</v>
      </c>
      <c r="AU33" s="13">
        <f t="shared" si="33"/>
        <v>0</v>
      </c>
      <c r="AV33" s="13">
        <f t="shared" si="34"/>
        <v>0</v>
      </c>
      <c r="AW33" s="13">
        <f t="shared" si="35"/>
        <v>0</v>
      </c>
    </row>
    <row r="34" spans="2:49" x14ac:dyDescent="0.3">
      <c r="B34" s="195">
        <v>17</v>
      </c>
      <c r="C34" s="144">
        <f t="shared" si="36"/>
        <v>0</v>
      </c>
      <c r="D34" s="195">
        <f t="shared" si="37"/>
        <v>0</v>
      </c>
      <c r="E34" s="144">
        <f t="shared" si="8"/>
        <v>0</v>
      </c>
      <c r="F34" s="195">
        <f t="shared" si="37"/>
        <v>0</v>
      </c>
      <c r="G34" s="144">
        <f t="shared" si="8"/>
        <v>0</v>
      </c>
      <c r="H34" s="195">
        <f t="shared" si="9"/>
        <v>0</v>
      </c>
      <c r="I34" s="144">
        <f t="shared" si="8"/>
        <v>0</v>
      </c>
      <c r="J34" s="195">
        <f t="shared" si="10"/>
        <v>0</v>
      </c>
      <c r="K34" s="144">
        <f t="shared" si="8"/>
        <v>0</v>
      </c>
      <c r="L34" s="195">
        <f t="shared" si="11"/>
        <v>0</v>
      </c>
      <c r="M34" s="144">
        <f t="shared" si="8"/>
        <v>0</v>
      </c>
      <c r="N34" s="195">
        <f t="shared" si="12"/>
        <v>0</v>
      </c>
      <c r="O34" s="144">
        <f t="shared" si="8"/>
        <v>0</v>
      </c>
      <c r="P34" s="195">
        <f t="shared" si="13"/>
        <v>0</v>
      </c>
      <c r="Q34" s="144">
        <f t="shared" si="14"/>
        <v>0</v>
      </c>
      <c r="R34" s="195">
        <f t="shared" si="15"/>
        <v>0</v>
      </c>
      <c r="T34" s="144">
        <f t="shared" si="16"/>
        <v>0</v>
      </c>
      <c r="U34" s="144">
        <f t="shared" si="17"/>
        <v>0</v>
      </c>
      <c r="V34" s="144">
        <f t="shared" si="18"/>
        <v>0</v>
      </c>
      <c r="W34" s="144">
        <f t="shared" si="19"/>
        <v>0</v>
      </c>
      <c r="X34" s="144">
        <f t="shared" si="20"/>
        <v>0</v>
      </c>
      <c r="Y34" s="144">
        <f t="shared" si="21"/>
        <v>0</v>
      </c>
      <c r="Z34" s="144">
        <f t="shared" si="22"/>
        <v>0</v>
      </c>
      <c r="AA34" s="144">
        <f t="shared" si="23"/>
        <v>0</v>
      </c>
      <c r="AC34" s="12">
        <f t="shared" si="38"/>
        <v>0</v>
      </c>
      <c r="AD34" s="12">
        <f t="shared" si="0"/>
        <v>0</v>
      </c>
      <c r="AE34" s="12">
        <f t="shared" si="1"/>
        <v>0</v>
      </c>
      <c r="AF34" s="12">
        <f t="shared" si="2"/>
        <v>0</v>
      </c>
      <c r="AG34" s="12">
        <f t="shared" si="3"/>
        <v>0</v>
      </c>
      <c r="AH34" s="12">
        <f t="shared" si="4"/>
        <v>0</v>
      </c>
      <c r="AI34" s="12">
        <f t="shared" si="5"/>
        <v>0</v>
      </c>
      <c r="AJ34" s="12">
        <f t="shared" si="6"/>
        <v>0</v>
      </c>
      <c r="AL34" s="13">
        <f t="shared" si="24"/>
        <v>0</v>
      </c>
      <c r="AM34" s="13">
        <f t="shared" si="25"/>
        <v>0</v>
      </c>
      <c r="AN34" s="13">
        <f t="shared" si="26"/>
        <v>0</v>
      </c>
      <c r="AO34" s="13">
        <f t="shared" si="27"/>
        <v>0</v>
      </c>
      <c r="AP34" s="13">
        <f t="shared" si="28"/>
        <v>0</v>
      </c>
      <c r="AQ34" s="13">
        <f t="shared" si="29"/>
        <v>0</v>
      </c>
      <c r="AR34" s="13">
        <f t="shared" si="30"/>
        <v>0</v>
      </c>
      <c r="AS34" s="13">
        <f t="shared" si="31"/>
        <v>0</v>
      </c>
      <c r="AT34" s="13">
        <f t="shared" si="32"/>
        <v>0</v>
      </c>
      <c r="AU34" s="13">
        <f t="shared" si="33"/>
        <v>0</v>
      </c>
      <c r="AV34" s="13">
        <f t="shared" si="34"/>
        <v>0</v>
      </c>
      <c r="AW34" s="13">
        <f t="shared" si="35"/>
        <v>0</v>
      </c>
    </row>
    <row r="35" spans="2:49" x14ac:dyDescent="0.3">
      <c r="B35" s="195">
        <v>16</v>
      </c>
      <c r="C35" s="144">
        <f t="shared" si="36"/>
        <v>0</v>
      </c>
      <c r="D35" s="195">
        <f t="shared" si="37"/>
        <v>0</v>
      </c>
      <c r="E35" s="144">
        <f t="shared" si="8"/>
        <v>0</v>
      </c>
      <c r="F35" s="195">
        <f t="shared" si="37"/>
        <v>0</v>
      </c>
      <c r="G35" s="144">
        <f t="shared" si="8"/>
        <v>0</v>
      </c>
      <c r="H35" s="195">
        <f t="shared" si="9"/>
        <v>0</v>
      </c>
      <c r="I35" s="144">
        <f t="shared" si="8"/>
        <v>0</v>
      </c>
      <c r="J35" s="195">
        <f t="shared" si="10"/>
        <v>0</v>
      </c>
      <c r="K35" s="144">
        <f t="shared" si="8"/>
        <v>0</v>
      </c>
      <c r="L35" s="195">
        <f t="shared" si="11"/>
        <v>0</v>
      </c>
      <c r="M35" s="144">
        <f t="shared" si="8"/>
        <v>0</v>
      </c>
      <c r="N35" s="195">
        <f t="shared" si="12"/>
        <v>0</v>
      </c>
      <c r="O35" s="144">
        <f t="shared" si="8"/>
        <v>0</v>
      </c>
      <c r="P35" s="195">
        <f t="shared" si="13"/>
        <v>0</v>
      </c>
      <c r="Q35" s="144">
        <f t="shared" si="14"/>
        <v>0</v>
      </c>
      <c r="R35" s="195">
        <f t="shared" si="15"/>
        <v>0</v>
      </c>
      <c r="T35" s="144">
        <f t="shared" si="16"/>
        <v>0</v>
      </c>
      <c r="U35" s="144">
        <f t="shared" si="17"/>
        <v>0</v>
      </c>
      <c r="V35" s="144">
        <f t="shared" si="18"/>
        <v>0</v>
      </c>
      <c r="W35" s="144">
        <f t="shared" si="19"/>
        <v>0</v>
      </c>
      <c r="X35" s="144">
        <f t="shared" si="20"/>
        <v>0</v>
      </c>
      <c r="Y35" s="144">
        <f t="shared" si="21"/>
        <v>0</v>
      </c>
      <c r="Z35" s="144">
        <f t="shared" si="22"/>
        <v>0</v>
      </c>
      <c r="AA35" s="144">
        <f t="shared" si="23"/>
        <v>0</v>
      </c>
      <c r="AC35" s="12">
        <f t="shared" si="38"/>
        <v>0</v>
      </c>
      <c r="AD35" s="12">
        <f t="shared" si="0"/>
        <v>0</v>
      </c>
      <c r="AE35" s="12">
        <f t="shared" si="1"/>
        <v>0</v>
      </c>
      <c r="AF35" s="12">
        <f t="shared" si="2"/>
        <v>0</v>
      </c>
      <c r="AG35" s="12">
        <f t="shared" si="3"/>
        <v>0</v>
      </c>
      <c r="AH35" s="12">
        <f t="shared" si="4"/>
        <v>0</v>
      </c>
      <c r="AI35" s="12">
        <f t="shared" si="5"/>
        <v>0</v>
      </c>
      <c r="AJ35" s="12">
        <f t="shared" si="6"/>
        <v>0</v>
      </c>
      <c r="AL35" s="13">
        <f t="shared" si="24"/>
        <v>0</v>
      </c>
      <c r="AM35" s="13">
        <f t="shared" si="25"/>
        <v>0</v>
      </c>
      <c r="AN35" s="13">
        <f t="shared" si="26"/>
        <v>0</v>
      </c>
      <c r="AO35" s="13">
        <f t="shared" si="27"/>
        <v>0</v>
      </c>
      <c r="AP35" s="13">
        <f t="shared" si="28"/>
        <v>0</v>
      </c>
      <c r="AQ35" s="13">
        <f t="shared" si="29"/>
        <v>0</v>
      </c>
      <c r="AR35" s="13">
        <f t="shared" si="30"/>
        <v>0</v>
      </c>
      <c r="AS35" s="13">
        <f t="shared" si="31"/>
        <v>0</v>
      </c>
      <c r="AT35" s="13">
        <f t="shared" si="32"/>
        <v>0</v>
      </c>
      <c r="AU35" s="13">
        <f t="shared" si="33"/>
        <v>0</v>
      </c>
      <c r="AV35" s="13">
        <f t="shared" si="34"/>
        <v>0</v>
      </c>
      <c r="AW35" s="13">
        <f t="shared" si="35"/>
        <v>0</v>
      </c>
    </row>
    <row r="36" spans="2:49" x14ac:dyDescent="0.3">
      <c r="B36" s="195">
        <v>15</v>
      </c>
      <c r="C36" s="144">
        <f t="shared" si="36"/>
        <v>0</v>
      </c>
      <c r="D36" s="195">
        <f t="shared" si="37"/>
        <v>0</v>
      </c>
      <c r="E36" s="144">
        <f t="shared" si="8"/>
        <v>0</v>
      </c>
      <c r="F36" s="195">
        <f t="shared" si="37"/>
        <v>0</v>
      </c>
      <c r="G36" s="144">
        <f t="shared" si="8"/>
        <v>0</v>
      </c>
      <c r="H36" s="195">
        <f t="shared" si="9"/>
        <v>0</v>
      </c>
      <c r="I36" s="144">
        <f t="shared" si="8"/>
        <v>0</v>
      </c>
      <c r="J36" s="195">
        <f t="shared" si="10"/>
        <v>0</v>
      </c>
      <c r="K36" s="144">
        <f t="shared" si="8"/>
        <v>0</v>
      </c>
      <c r="L36" s="195">
        <f t="shared" si="11"/>
        <v>0</v>
      </c>
      <c r="M36" s="144">
        <f t="shared" si="8"/>
        <v>0</v>
      </c>
      <c r="N36" s="195">
        <f t="shared" si="12"/>
        <v>0</v>
      </c>
      <c r="O36" s="144">
        <f t="shared" si="8"/>
        <v>0</v>
      </c>
      <c r="P36" s="195">
        <f t="shared" si="13"/>
        <v>0</v>
      </c>
      <c r="Q36" s="144">
        <f t="shared" si="14"/>
        <v>0</v>
      </c>
      <c r="R36" s="195">
        <f t="shared" si="15"/>
        <v>0</v>
      </c>
      <c r="T36" s="144">
        <f t="shared" si="16"/>
        <v>0</v>
      </c>
      <c r="U36" s="144">
        <f t="shared" si="17"/>
        <v>0</v>
      </c>
      <c r="V36" s="144">
        <f t="shared" si="18"/>
        <v>0</v>
      </c>
      <c r="W36" s="144">
        <f t="shared" si="19"/>
        <v>0</v>
      </c>
      <c r="X36" s="144">
        <f t="shared" si="20"/>
        <v>0</v>
      </c>
      <c r="Y36" s="144">
        <f t="shared" si="21"/>
        <v>0</v>
      </c>
      <c r="Z36" s="144">
        <f t="shared" si="22"/>
        <v>0</v>
      </c>
      <c r="AA36" s="144">
        <f t="shared" si="23"/>
        <v>0</v>
      </c>
      <c r="AC36" s="12">
        <f t="shared" si="38"/>
        <v>0</v>
      </c>
      <c r="AD36" s="12">
        <f t="shared" si="0"/>
        <v>0</v>
      </c>
      <c r="AE36" s="12">
        <f t="shared" si="1"/>
        <v>0</v>
      </c>
      <c r="AF36" s="12">
        <f t="shared" si="2"/>
        <v>0</v>
      </c>
      <c r="AG36" s="12">
        <f t="shared" si="3"/>
        <v>0</v>
      </c>
      <c r="AH36" s="12">
        <f t="shared" si="4"/>
        <v>0</v>
      </c>
      <c r="AI36" s="12">
        <f t="shared" si="5"/>
        <v>0</v>
      </c>
      <c r="AJ36" s="12">
        <f t="shared" si="6"/>
        <v>0</v>
      </c>
      <c r="AL36" s="13">
        <f t="shared" si="24"/>
        <v>0</v>
      </c>
      <c r="AM36" s="13">
        <f t="shared" si="25"/>
        <v>0</v>
      </c>
      <c r="AN36" s="13">
        <f t="shared" si="26"/>
        <v>0</v>
      </c>
      <c r="AO36" s="13">
        <f t="shared" si="27"/>
        <v>0</v>
      </c>
      <c r="AP36" s="13">
        <f t="shared" si="28"/>
        <v>0</v>
      </c>
      <c r="AQ36" s="13">
        <f t="shared" si="29"/>
        <v>0</v>
      </c>
      <c r="AR36" s="13">
        <f t="shared" si="30"/>
        <v>0</v>
      </c>
      <c r="AS36" s="13">
        <f t="shared" si="31"/>
        <v>0</v>
      </c>
      <c r="AT36" s="13">
        <f t="shared" si="32"/>
        <v>0</v>
      </c>
      <c r="AU36" s="13">
        <f t="shared" si="33"/>
        <v>0</v>
      </c>
      <c r="AV36" s="13">
        <f t="shared" si="34"/>
        <v>0</v>
      </c>
      <c r="AW36" s="13">
        <f t="shared" si="35"/>
        <v>0</v>
      </c>
    </row>
    <row r="37" spans="2:49" x14ac:dyDescent="0.3">
      <c r="B37" s="195">
        <v>14</v>
      </c>
      <c r="C37" s="144">
        <f t="shared" si="36"/>
        <v>0</v>
      </c>
      <c r="D37" s="195">
        <f t="shared" si="37"/>
        <v>0</v>
      </c>
      <c r="E37" s="144">
        <f t="shared" si="8"/>
        <v>0</v>
      </c>
      <c r="F37" s="195">
        <f t="shared" si="37"/>
        <v>0</v>
      </c>
      <c r="G37" s="144">
        <f t="shared" si="8"/>
        <v>0</v>
      </c>
      <c r="H37" s="195">
        <f t="shared" si="9"/>
        <v>0</v>
      </c>
      <c r="I37" s="144">
        <f t="shared" si="8"/>
        <v>0</v>
      </c>
      <c r="J37" s="195">
        <f t="shared" si="10"/>
        <v>0</v>
      </c>
      <c r="K37" s="144">
        <f t="shared" si="8"/>
        <v>0</v>
      </c>
      <c r="L37" s="195">
        <f t="shared" si="11"/>
        <v>0</v>
      </c>
      <c r="M37" s="144">
        <f t="shared" si="8"/>
        <v>0</v>
      </c>
      <c r="N37" s="195">
        <f t="shared" si="12"/>
        <v>0</v>
      </c>
      <c r="O37" s="144">
        <f t="shared" si="8"/>
        <v>0</v>
      </c>
      <c r="P37" s="195">
        <f t="shared" si="13"/>
        <v>0</v>
      </c>
      <c r="Q37" s="144">
        <f t="shared" si="14"/>
        <v>0</v>
      </c>
      <c r="R37" s="195">
        <f t="shared" si="15"/>
        <v>0</v>
      </c>
      <c r="T37" s="144">
        <f t="shared" si="16"/>
        <v>0</v>
      </c>
      <c r="U37" s="144">
        <f t="shared" si="17"/>
        <v>0</v>
      </c>
      <c r="V37" s="144">
        <f t="shared" si="18"/>
        <v>0</v>
      </c>
      <c r="W37" s="144">
        <f t="shared" si="19"/>
        <v>0</v>
      </c>
      <c r="X37" s="144">
        <f t="shared" si="20"/>
        <v>0</v>
      </c>
      <c r="Y37" s="144">
        <f t="shared" si="21"/>
        <v>0</v>
      </c>
      <c r="Z37" s="144">
        <f t="shared" si="22"/>
        <v>0</v>
      </c>
      <c r="AA37" s="144">
        <f t="shared" si="23"/>
        <v>0</v>
      </c>
      <c r="AC37" s="12">
        <f t="shared" si="38"/>
        <v>0</v>
      </c>
      <c r="AD37" s="12">
        <f t="shared" si="0"/>
        <v>0</v>
      </c>
      <c r="AE37" s="12">
        <f t="shared" si="1"/>
        <v>0</v>
      </c>
      <c r="AF37" s="12">
        <f t="shared" si="2"/>
        <v>0</v>
      </c>
      <c r="AG37" s="12">
        <f t="shared" si="3"/>
        <v>0</v>
      </c>
      <c r="AH37" s="12">
        <f t="shared" si="4"/>
        <v>0</v>
      </c>
      <c r="AI37" s="12">
        <f t="shared" si="5"/>
        <v>0</v>
      </c>
      <c r="AJ37" s="12">
        <f t="shared" si="6"/>
        <v>0</v>
      </c>
      <c r="AL37" s="13">
        <f t="shared" si="24"/>
        <v>0</v>
      </c>
      <c r="AM37" s="13">
        <f t="shared" si="25"/>
        <v>0</v>
      </c>
      <c r="AN37" s="13">
        <f t="shared" si="26"/>
        <v>0</v>
      </c>
      <c r="AO37" s="13">
        <f t="shared" si="27"/>
        <v>0</v>
      </c>
      <c r="AP37" s="13">
        <f t="shared" si="28"/>
        <v>0</v>
      </c>
      <c r="AQ37" s="13">
        <f t="shared" si="29"/>
        <v>0</v>
      </c>
      <c r="AR37" s="13">
        <f t="shared" si="30"/>
        <v>0</v>
      </c>
      <c r="AS37" s="13">
        <f t="shared" si="31"/>
        <v>0</v>
      </c>
      <c r="AT37" s="13">
        <f t="shared" si="32"/>
        <v>0</v>
      </c>
      <c r="AU37" s="13">
        <f t="shared" si="33"/>
        <v>0</v>
      </c>
      <c r="AV37" s="13">
        <f t="shared" si="34"/>
        <v>0</v>
      </c>
      <c r="AW37" s="13">
        <f t="shared" si="35"/>
        <v>0</v>
      </c>
    </row>
    <row r="38" spans="2:49" x14ac:dyDescent="0.3">
      <c r="B38" s="195">
        <v>13</v>
      </c>
      <c r="C38" s="144">
        <f t="shared" si="36"/>
        <v>0</v>
      </c>
      <c r="D38" s="195">
        <f t="shared" si="37"/>
        <v>0</v>
      </c>
      <c r="E38" s="144">
        <f t="shared" si="8"/>
        <v>0</v>
      </c>
      <c r="F38" s="195">
        <f t="shared" si="37"/>
        <v>0</v>
      </c>
      <c r="G38" s="144">
        <f t="shared" si="8"/>
        <v>0</v>
      </c>
      <c r="H38" s="195">
        <f t="shared" si="9"/>
        <v>0</v>
      </c>
      <c r="I38" s="144">
        <f t="shared" si="8"/>
        <v>0</v>
      </c>
      <c r="J38" s="195">
        <f t="shared" si="10"/>
        <v>0</v>
      </c>
      <c r="K38" s="144">
        <f t="shared" si="8"/>
        <v>0</v>
      </c>
      <c r="L38" s="195">
        <f t="shared" si="11"/>
        <v>0</v>
      </c>
      <c r="M38" s="144">
        <f t="shared" si="8"/>
        <v>0</v>
      </c>
      <c r="N38" s="195">
        <f t="shared" si="12"/>
        <v>0</v>
      </c>
      <c r="O38" s="144">
        <f t="shared" si="8"/>
        <v>0</v>
      </c>
      <c r="P38" s="195">
        <f t="shared" si="13"/>
        <v>0</v>
      </c>
      <c r="Q38" s="144">
        <f t="shared" si="14"/>
        <v>0</v>
      </c>
      <c r="R38" s="195">
        <f t="shared" si="15"/>
        <v>0</v>
      </c>
      <c r="T38" s="144">
        <f t="shared" si="16"/>
        <v>0</v>
      </c>
      <c r="U38" s="144">
        <f t="shared" si="17"/>
        <v>0</v>
      </c>
      <c r="V38" s="144">
        <f t="shared" si="18"/>
        <v>0</v>
      </c>
      <c r="W38" s="144">
        <f t="shared" si="19"/>
        <v>0</v>
      </c>
      <c r="X38" s="144">
        <f t="shared" si="20"/>
        <v>0</v>
      </c>
      <c r="Y38" s="144">
        <f t="shared" si="21"/>
        <v>0</v>
      </c>
      <c r="Z38" s="144">
        <f t="shared" si="22"/>
        <v>0</v>
      </c>
      <c r="AA38" s="144">
        <f t="shared" si="23"/>
        <v>0</v>
      </c>
      <c r="AC38" s="12">
        <f t="shared" si="38"/>
        <v>0</v>
      </c>
      <c r="AD38" s="12">
        <f t="shared" si="0"/>
        <v>0</v>
      </c>
      <c r="AE38" s="12">
        <f t="shared" si="1"/>
        <v>0</v>
      </c>
      <c r="AF38" s="12">
        <f t="shared" si="2"/>
        <v>0</v>
      </c>
      <c r="AG38" s="12">
        <f t="shared" si="3"/>
        <v>0</v>
      </c>
      <c r="AH38" s="12">
        <f t="shared" si="4"/>
        <v>0</v>
      </c>
      <c r="AI38" s="12">
        <f t="shared" si="5"/>
        <v>0</v>
      </c>
      <c r="AJ38" s="12">
        <f t="shared" si="6"/>
        <v>0</v>
      </c>
      <c r="AL38" s="13">
        <f t="shared" si="24"/>
        <v>0</v>
      </c>
      <c r="AM38" s="13">
        <f t="shared" si="25"/>
        <v>0</v>
      </c>
      <c r="AN38" s="13">
        <f t="shared" si="26"/>
        <v>0</v>
      </c>
      <c r="AO38" s="13">
        <f t="shared" si="27"/>
        <v>0</v>
      </c>
      <c r="AP38" s="13">
        <f t="shared" si="28"/>
        <v>0</v>
      </c>
      <c r="AQ38" s="13">
        <f t="shared" si="29"/>
        <v>0</v>
      </c>
      <c r="AR38" s="13">
        <f t="shared" si="30"/>
        <v>0</v>
      </c>
      <c r="AS38" s="13">
        <f t="shared" si="31"/>
        <v>0</v>
      </c>
      <c r="AT38" s="13">
        <f t="shared" si="32"/>
        <v>0</v>
      </c>
      <c r="AU38" s="13">
        <f t="shared" si="33"/>
        <v>0</v>
      </c>
      <c r="AV38" s="13">
        <f t="shared" si="34"/>
        <v>0</v>
      </c>
      <c r="AW38" s="13">
        <f t="shared" si="35"/>
        <v>0</v>
      </c>
    </row>
    <row r="39" spans="2:49" x14ac:dyDescent="0.3">
      <c r="B39" s="50">
        <v>12</v>
      </c>
      <c r="C39" s="144">
        <f t="shared" si="36"/>
        <v>0</v>
      </c>
      <c r="D39" s="195">
        <f t="shared" si="37"/>
        <v>0</v>
      </c>
      <c r="E39" s="144">
        <f t="shared" si="8"/>
        <v>0</v>
      </c>
      <c r="F39" s="195">
        <f t="shared" si="37"/>
        <v>0</v>
      </c>
      <c r="G39" s="144">
        <f t="shared" si="8"/>
        <v>0</v>
      </c>
      <c r="H39" s="195">
        <f t="shared" si="9"/>
        <v>0</v>
      </c>
      <c r="I39" s="144">
        <f t="shared" si="8"/>
        <v>0</v>
      </c>
      <c r="J39" s="195">
        <f t="shared" si="10"/>
        <v>0</v>
      </c>
      <c r="K39" s="144">
        <f t="shared" si="8"/>
        <v>0</v>
      </c>
      <c r="L39" s="195">
        <f t="shared" si="11"/>
        <v>0</v>
      </c>
      <c r="M39" s="144">
        <f t="shared" si="8"/>
        <v>0</v>
      </c>
      <c r="N39" s="195">
        <f t="shared" si="12"/>
        <v>0</v>
      </c>
      <c r="O39" s="144">
        <f t="shared" si="8"/>
        <v>0</v>
      </c>
      <c r="P39" s="195">
        <f t="shared" si="13"/>
        <v>0</v>
      </c>
      <c r="Q39" s="144">
        <f t="shared" si="14"/>
        <v>0</v>
      </c>
      <c r="R39" s="195">
        <f t="shared" si="15"/>
        <v>0</v>
      </c>
      <c r="T39" s="144">
        <f t="shared" si="16"/>
        <v>0</v>
      </c>
      <c r="U39" s="144">
        <f t="shared" si="17"/>
        <v>0</v>
      </c>
      <c r="V39" s="144">
        <f t="shared" si="18"/>
        <v>0</v>
      </c>
      <c r="W39" s="144">
        <f t="shared" si="19"/>
        <v>0</v>
      </c>
      <c r="X39" s="144">
        <f t="shared" si="20"/>
        <v>0</v>
      </c>
      <c r="Y39" s="144">
        <f t="shared" si="21"/>
        <v>0</v>
      </c>
      <c r="Z39" s="144">
        <f t="shared" si="22"/>
        <v>0</v>
      </c>
      <c r="AA39" s="144">
        <f t="shared" si="23"/>
        <v>0</v>
      </c>
      <c r="AC39" s="12">
        <f t="shared" si="38"/>
        <v>0</v>
      </c>
      <c r="AD39" s="12">
        <f t="shared" si="0"/>
        <v>0</v>
      </c>
      <c r="AE39" s="12">
        <f t="shared" si="1"/>
        <v>0</v>
      </c>
      <c r="AF39" s="12">
        <f t="shared" si="2"/>
        <v>0</v>
      </c>
      <c r="AG39" s="12">
        <f t="shared" si="3"/>
        <v>0</v>
      </c>
      <c r="AH39" s="12">
        <f t="shared" si="4"/>
        <v>0</v>
      </c>
      <c r="AI39" s="12">
        <f t="shared" si="5"/>
        <v>0</v>
      </c>
      <c r="AJ39" s="12">
        <f t="shared" si="6"/>
        <v>0</v>
      </c>
      <c r="AL39" s="13">
        <f t="shared" si="24"/>
        <v>0</v>
      </c>
      <c r="AM39" s="13">
        <f t="shared" si="25"/>
        <v>0</v>
      </c>
      <c r="AN39" s="13">
        <f t="shared" si="26"/>
        <v>0</v>
      </c>
      <c r="AO39" s="13">
        <f t="shared" si="27"/>
        <v>0</v>
      </c>
      <c r="AP39" s="13">
        <f t="shared" si="28"/>
        <v>0</v>
      </c>
      <c r="AQ39" s="13">
        <f t="shared" si="29"/>
        <v>0</v>
      </c>
      <c r="AR39" s="13">
        <f t="shared" si="30"/>
        <v>0</v>
      </c>
      <c r="AS39" s="13">
        <f t="shared" si="31"/>
        <v>0</v>
      </c>
      <c r="AT39" s="13">
        <f t="shared" si="32"/>
        <v>0</v>
      </c>
      <c r="AU39" s="13">
        <f t="shared" si="33"/>
        <v>0</v>
      </c>
      <c r="AV39" s="13">
        <f t="shared" si="34"/>
        <v>0</v>
      </c>
      <c r="AW39" s="13">
        <f t="shared" si="35"/>
        <v>0</v>
      </c>
    </row>
    <row r="40" spans="2:49" x14ac:dyDescent="0.3">
      <c r="B40" s="50">
        <v>11</v>
      </c>
      <c r="C40" s="144">
        <f t="shared" si="36"/>
        <v>0</v>
      </c>
      <c r="D40" s="195">
        <f t="shared" si="37"/>
        <v>0</v>
      </c>
      <c r="E40" s="144">
        <f t="shared" si="8"/>
        <v>0</v>
      </c>
      <c r="F40" s="195">
        <f t="shared" si="37"/>
        <v>0</v>
      </c>
      <c r="G40" s="144">
        <f t="shared" si="8"/>
        <v>0</v>
      </c>
      <c r="H40" s="195">
        <f t="shared" si="9"/>
        <v>0</v>
      </c>
      <c r="I40" s="144">
        <f t="shared" si="8"/>
        <v>0</v>
      </c>
      <c r="J40" s="195">
        <f t="shared" si="10"/>
        <v>0</v>
      </c>
      <c r="K40" s="144">
        <f t="shared" si="8"/>
        <v>0</v>
      </c>
      <c r="L40" s="195">
        <f t="shared" si="11"/>
        <v>0</v>
      </c>
      <c r="M40" s="144">
        <f t="shared" si="8"/>
        <v>0</v>
      </c>
      <c r="N40" s="195">
        <f t="shared" si="12"/>
        <v>0</v>
      </c>
      <c r="O40" s="144">
        <f t="shared" si="8"/>
        <v>0</v>
      </c>
      <c r="P40" s="195">
        <f t="shared" si="13"/>
        <v>0</v>
      </c>
      <c r="Q40" s="144">
        <f t="shared" si="14"/>
        <v>0</v>
      </c>
      <c r="R40" s="195">
        <f t="shared" si="15"/>
        <v>0</v>
      </c>
      <c r="T40" s="144">
        <f t="shared" si="16"/>
        <v>0</v>
      </c>
      <c r="U40" s="144">
        <f t="shared" si="17"/>
        <v>0</v>
      </c>
      <c r="V40" s="144">
        <f t="shared" si="18"/>
        <v>0</v>
      </c>
      <c r="W40" s="144">
        <f t="shared" si="19"/>
        <v>0</v>
      </c>
      <c r="X40" s="144">
        <f t="shared" si="20"/>
        <v>0</v>
      </c>
      <c r="Y40" s="144">
        <f t="shared" si="21"/>
        <v>0</v>
      </c>
      <c r="Z40" s="144">
        <f t="shared" si="22"/>
        <v>0</v>
      </c>
      <c r="AA40" s="144">
        <f t="shared" si="23"/>
        <v>0</v>
      </c>
      <c r="AC40" s="12">
        <f t="shared" si="38"/>
        <v>0</v>
      </c>
      <c r="AD40" s="12">
        <f t="shared" si="0"/>
        <v>0</v>
      </c>
      <c r="AE40" s="12">
        <f t="shared" si="1"/>
        <v>0</v>
      </c>
      <c r="AF40" s="12">
        <f t="shared" si="2"/>
        <v>0</v>
      </c>
      <c r="AG40" s="12">
        <f t="shared" si="3"/>
        <v>0</v>
      </c>
      <c r="AH40" s="12">
        <f t="shared" si="4"/>
        <v>0</v>
      </c>
      <c r="AI40" s="12">
        <f t="shared" si="5"/>
        <v>0</v>
      </c>
      <c r="AJ40" s="12">
        <f t="shared" si="6"/>
        <v>0</v>
      </c>
      <c r="AL40" s="13">
        <f t="shared" si="24"/>
        <v>0</v>
      </c>
      <c r="AM40" s="13">
        <f t="shared" si="25"/>
        <v>0</v>
      </c>
      <c r="AN40" s="13">
        <f t="shared" si="26"/>
        <v>0</v>
      </c>
      <c r="AO40" s="13">
        <f t="shared" si="27"/>
        <v>0</v>
      </c>
      <c r="AP40" s="13">
        <f t="shared" si="28"/>
        <v>0</v>
      </c>
      <c r="AQ40" s="13">
        <f t="shared" si="29"/>
        <v>0</v>
      </c>
      <c r="AR40" s="13">
        <f t="shared" si="30"/>
        <v>0</v>
      </c>
      <c r="AS40" s="13">
        <f t="shared" si="31"/>
        <v>0</v>
      </c>
      <c r="AT40" s="13">
        <f t="shared" si="32"/>
        <v>0</v>
      </c>
      <c r="AU40" s="13">
        <f t="shared" si="33"/>
        <v>0</v>
      </c>
      <c r="AV40" s="13">
        <f t="shared" si="34"/>
        <v>0</v>
      </c>
      <c r="AW40" s="13">
        <f t="shared" si="35"/>
        <v>0</v>
      </c>
    </row>
    <row r="41" spans="2:49" x14ac:dyDescent="0.3">
      <c r="B41" s="195">
        <v>10</v>
      </c>
      <c r="C41" s="144">
        <f t="shared" si="36"/>
        <v>0</v>
      </c>
      <c r="D41" s="195">
        <f t="shared" si="37"/>
        <v>0</v>
      </c>
      <c r="E41" s="144">
        <f t="shared" si="8"/>
        <v>0</v>
      </c>
      <c r="F41" s="195">
        <f t="shared" si="37"/>
        <v>0</v>
      </c>
      <c r="G41" s="144">
        <f t="shared" si="8"/>
        <v>0</v>
      </c>
      <c r="H41" s="195">
        <f t="shared" si="9"/>
        <v>0</v>
      </c>
      <c r="I41" s="144">
        <f t="shared" si="8"/>
        <v>0</v>
      </c>
      <c r="J41" s="195">
        <f t="shared" si="10"/>
        <v>0</v>
      </c>
      <c r="K41" s="144">
        <f t="shared" si="8"/>
        <v>0</v>
      </c>
      <c r="L41" s="195">
        <f t="shared" si="11"/>
        <v>0</v>
      </c>
      <c r="M41" s="144">
        <f t="shared" si="8"/>
        <v>0</v>
      </c>
      <c r="N41" s="195">
        <f t="shared" si="12"/>
        <v>0</v>
      </c>
      <c r="O41" s="144">
        <f t="shared" si="8"/>
        <v>0</v>
      </c>
      <c r="P41" s="195">
        <f t="shared" si="13"/>
        <v>0</v>
      </c>
      <c r="Q41" s="144">
        <f t="shared" si="14"/>
        <v>0</v>
      </c>
      <c r="R41" s="195">
        <f t="shared" si="15"/>
        <v>0</v>
      </c>
      <c r="T41" s="144">
        <f t="shared" si="16"/>
        <v>0</v>
      </c>
      <c r="U41" s="144">
        <f t="shared" si="17"/>
        <v>0</v>
      </c>
      <c r="V41" s="144">
        <f t="shared" si="18"/>
        <v>0</v>
      </c>
      <c r="W41" s="144">
        <f t="shared" si="19"/>
        <v>0</v>
      </c>
      <c r="X41" s="144">
        <f t="shared" si="20"/>
        <v>0</v>
      </c>
      <c r="Y41" s="144">
        <f t="shared" si="21"/>
        <v>0</v>
      </c>
      <c r="Z41" s="144">
        <f t="shared" si="22"/>
        <v>0</v>
      </c>
      <c r="AA41" s="144">
        <f t="shared" si="23"/>
        <v>0</v>
      </c>
      <c r="AC41" s="12">
        <f t="shared" si="38"/>
        <v>0</v>
      </c>
      <c r="AD41" s="12">
        <f t="shared" si="0"/>
        <v>0</v>
      </c>
      <c r="AE41" s="12">
        <f t="shared" si="1"/>
        <v>0</v>
      </c>
      <c r="AF41" s="12">
        <f t="shared" si="2"/>
        <v>0</v>
      </c>
      <c r="AG41" s="12">
        <f t="shared" si="3"/>
        <v>0</v>
      </c>
      <c r="AH41" s="12">
        <f t="shared" si="4"/>
        <v>0</v>
      </c>
      <c r="AI41" s="12">
        <f t="shared" si="5"/>
        <v>0</v>
      </c>
      <c r="AJ41" s="12">
        <f t="shared" si="6"/>
        <v>0</v>
      </c>
      <c r="AL41" s="13">
        <f t="shared" si="24"/>
        <v>0</v>
      </c>
      <c r="AM41" s="13">
        <f t="shared" si="25"/>
        <v>0</v>
      </c>
      <c r="AN41" s="13">
        <f t="shared" si="26"/>
        <v>0</v>
      </c>
      <c r="AO41" s="13">
        <f t="shared" si="27"/>
        <v>0</v>
      </c>
      <c r="AP41" s="13">
        <f t="shared" si="28"/>
        <v>0</v>
      </c>
      <c r="AQ41" s="13">
        <f t="shared" si="29"/>
        <v>0</v>
      </c>
      <c r="AR41" s="13">
        <f t="shared" si="30"/>
        <v>0</v>
      </c>
      <c r="AS41" s="13">
        <f t="shared" si="31"/>
        <v>0</v>
      </c>
      <c r="AT41" s="13">
        <f t="shared" si="32"/>
        <v>0</v>
      </c>
      <c r="AU41" s="13">
        <f t="shared" si="33"/>
        <v>0</v>
      </c>
      <c r="AV41" s="13">
        <f t="shared" si="34"/>
        <v>0</v>
      </c>
      <c r="AW41" s="13">
        <f t="shared" si="35"/>
        <v>0</v>
      </c>
    </row>
    <row r="42" spans="2:49" x14ac:dyDescent="0.3">
      <c r="B42" s="195">
        <v>9</v>
      </c>
      <c r="C42" s="144">
        <f t="shared" si="36"/>
        <v>0</v>
      </c>
      <c r="D42" s="195">
        <f t="shared" si="37"/>
        <v>0</v>
      </c>
      <c r="E42" s="144">
        <f t="shared" si="8"/>
        <v>0</v>
      </c>
      <c r="F42" s="195">
        <f t="shared" si="37"/>
        <v>0</v>
      </c>
      <c r="G42" s="144">
        <f t="shared" si="8"/>
        <v>0</v>
      </c>
      <c r="H42" s="195">
        <f t="shared" si="9"/>
        <v>0</v>
      </c>
      <c r="I42" s="144">
        <f t="shared" si="8"/>
        <v>0</v>
      </c>
      <c r="J42" s="195">
        <f t="shared" si="10"/>
        <v>0</v>
      </c>
      <c r="K42" s="144">
        <f t="shared" si="8"/>
        <v>0</v>
      </c>
      <c r="L42" s="195">
        <f t="shared" si="11"/>
        <v>0</v>
      </c>
      <c r="M42" s="144">
        <f t="shared" si="8"/>
        <v>0</v>
      </c>
      <c r="N42" s="195">
        <f t="shared" si="12"/>
        <v>0</v>
      </c>
      <c r="O42" s="144">
        <f t="shared" si="8"/>
        <v>0</v>
      </c>
      <c r="P42" s="195">
        <f t="shared" si="13"/>
        <v>0</v>
      </c>
      <c r="Q42" s="144">
        <f t="shared" si="14"/>
        <v>0</v>
      </c>
      <c r="R42" s="195">
        <f t="shared" si="15"/>
        <v>0</v>
      </c>
      <c r="T42" s="144">
        <f t="shared" si="16"/>
        <v>0</v>
      </c>
      <c r="U42" s="144">
        <f t="shared" si="17"/>
        <v>0</v>
      </c>
      <c r="V42" s="144">
        <f t="shared" si="18"/>
        <v>0</v>
      </c>
      <c r="W42" s="144">
        <f t="shared" si="19"/>
        <v>0</v>
      </c>
      <c r="X42" s="144">
        <f t="shared" si="20"/>
        <v>0</v>
      </c>
      <c r="Y42" s="144">
        <f t="shared" si="21"/>
        <v>0</v>
      </c>
      <c r="Z42" s="144">
        <f t="shared" si="22"/>
        <v>0</v>
      </c>
      <c r="AA42" s="144">
        <f t="shared" si="23"/>
        <v>0</v>
      </c>
      <c r="AC42" s="12">
        <f t="shared" si="38"/>
        <v>0</v>
      </c>
      <c r="AD42" s="12">
        <f t="shared" si="0"/>
        <v>0</v>
      </c>
      <c r="AE42" s="12">
        <f t="shared" si="1"/>
        <v>0</v>
      </c>
      <c r="AF42" s="12">
        <f t="shared" si="2"/>
        <v>0</v>
      </c>
      <c r="AG42" s="12">
        <f t="shared" si="3"/>
        <v>0</v>
      </c>
      <c r="AH42" s="12">
        <f t="shared" si="4"/>
        <v>0</v>
      </c>
      <c r="AI42" s="12">
        <f t="shared" si="5"/>
        <v>0</v>
      </c>
      <c r="AJ42" s="12">
        <f t="shared" si="6"/>
        <v>0</v>
      </c>
      <c r="AL42" s="13">
        <f t="shared" si="24"/>
        <v>0</v>
      </c>
      <c r="AM42" s="13">
        <f t="shared" si="25"/>
        <v>0</v>
      </c>
      <c r="AN42" s="13">
        <f t="shared" si="26"/>
        <v>0</v>
      </c>
      <c r="AO42" s="13">
        <f t="shared" si="27"/>
        <v>0</v>
      </c>
      <c r="AP42" s="13">
        <f t="shared" si="28"/>
        <v>0</v>
      </c>
      <c r="AQ42" s="13">
        <f t="shared" si="29"/>
        <v>0</v>
      </c>
      <c r="AR42" s="13">
        <f t="shared" si="30"/>
        <v>0</v>
      </c>
      <c r="AS42" s="13">
        <f t="shared" si="31"/>
        <v>0</v>
      </c>
      <c r="AT42" s="13">
        <f t="shared" si="32"/>
        <v>0</v>
      </c>
      <c r="AU42" s="13">
        <f t="shared" si="33"/>
        <v>0</v>
      </c>
      <c r="AV42" s="13">
        <f t="shared" si="34"/>
        <v>0</v>
      </c>
      <c r="AW42" s="13">
        <f t="shared" si="35"/>
        <v>0</v>
      </c>
    </row>
    <row r="43" spans="2:49" x14ac:dyDescent="0.3">
      <c r="B43" s="195">
        <v>8</v>
      </c>
      <c r="C43" s="144">
        <f t="shared" si="36"/>
        <v>0</v>
      </c>
      <c r="D43" s="195">
        <f t="shared" si="37"/>
        <v>0</v>
      </c>
      <c r="E43" s="144">
        <f t="shared" si="8"/>
        <v>0</v>
      </c>
      <c r="F43" s="195">
        <f t="shared" si="37"/>
        <v>0</v>
      </c>
      <c r="G43" s="144">
        <f t="shared" si="8"/>
        <v>0</v>
      </c>
      <c r="H43" s="195">
        <f t="shared" si="9"/>
        <v>0</v>
      </c>
      <c r="I43" s="144">
        <f t="shared" si="8"/>
        <v>0</v>
      </c>
      <c r="J43" s="195">
        <f t="shared" si="10"/>
        <v>0</v>
      </c>
      <c r="K43" s="144">
        <f t="shared" si="8"/>
        <v>0</v>
      </c>
      <c r="L43" s="195">
        <f t="shared" si="11"/>
        <v>0</v>
      </c>
      <c r="M43" s="144">
        <f t="shared" si="8"/>
        <v>0</v>
      </c>
      <c r="N43" s="195">
        <f t="shared" si="12"/>
        <v>0</v>
      </c>
      <c r="O43" s="144">
        <f t="shared" si="8"/>
        <v>0</v>
      </c>
      <c r="P43" s="195">
        <f t="shared" si="13"/>
        <v>0</v>
      </c>
      <c r="Q43" s="144">
        <f t="shared" si="14"/>
        <v>0</v>
      </c>
      <c r="R43" s="195">
        <f t="shared" si="15"/>
        <v>0</v>
      </c>
      <c r="T43" s="144">
        <f t="shared" si="16"/>
        <v>0</v>
      </c>
      <c r="U43" s="144">
        <f t="shared" si="17"/>
        <v>0</v>
      </c>
      <c r="V43" s="144">
        <f t="shared" si="18"/>
        <v>0</v>
      </c>
      <c r="W43" s="144">
        <f t="shared" si="19"/>
        <v>0</v>
      </c>
      <c r="X43" s="144">
        <f t="shared" si="20"/>
        <v>0</v>
      </c>
      <c r="Y43" s="144">
        <f t="shared" si="21"/>
        <v>0</v>
      </c>
      <c r="Z43" s="144">
        <f t="shared" si="22"/>
        <v>0</v>
      </c>
      <c r="AA43" s="144">
        <f t="shared" si="23"/>
        <v>0</v>
      </c>
      <c r="AC43" s="12">
        <f t="shared" si="38"/>
        <v>0</v>
      </c>
      <c r="AD43" s="12">
        <f t="shared" si="0"/>
        <v>0</v>
      </c>
      <c r="AE43" s="12">
        <f t="shared" si="1"/>
        <v>0</v>
      </c>
      <c r="AF43" s="12">
        <f t="shared" si="2"/>
        <v>0</v>
      </c>
      <c r="AG43" s="12">
        <f t="shared" si="3"/>
        <v>0</v>
      </c>
      <c r="AH43" s="12">
        <f t="shared" si="4"/>
        <v>0</v>
      </c>
      <c r="AI43" s="12">
        <f t="shared" si="5"/>
        <v>0</v>
      </c>
      <c r="AJ43" s="12">
        <f t="shared" si="6"/>
        <v>0</v>
      </c>
      <c r="AL43" s="13">
        <f t="shared" si="24"/>
        <v>0</v>
      </c>
      <c r="AM43" s="13">
        <f t="shared" si="25"/>
        <v>0</v>
      </c>
      <c r="AN43" s="13">
        <f t="shared" si="26"/>
        <v>0</v>
      </c>
      <c r="AO43" s="13">
        <f t="shared" si="27"/>
        <v>0</v>
      </c>
      <c r="AP43" s="13">
        <f t="shared" si="28"/>
        <v>0</v>
      </c>
      <c r="AQ43" s="13">
        <f t="shared" si="29"/>
        <v>0</v>
      </c>
      <c r="AR43" s="13">
        <f t="shared" si="30"/>
        <v>0</v>
      </c>
      <c r="AS43" s="13">
        <f t="shared" si="31"/>
        <v>0</v>
      </c>
      <c r="AT43" s="13">
        <f t="shared" si="32"/>
        <v>0</v>
      </c>
      <c r="AU43" s="13">
        <f t="shared" si="33"/>
        <v>0</v>
      </c>
      <c r="AV43" s="13">
        <f t="shared" si="34"/>
        <v>0</v>
      </c>
      <c r="AW43" s="13">
        <f t="shared" si="35"/>
        <v>0</v>
      </c>
    </row>
    <row r="44" spans="2:49" x14ac:dyDescent="0.3">
      <c r="B44" s="195">
        <v>7</v>
      </c>
      <c r="C44" s="144">
        <f t="shared" si="36"/>
        <v>0</v>
      </c>
      <c r="D44" s="195">
        <f t="shared" si="37"/>
        <v>0</v>
      </c>
      <c r="E44" s="144">
        <f t="shared" si="8"/>
        <v>0</v>
      </c>
      <c r="F44" s="195">
        <f t="shared" si="37"/>
        <v>0</v>
      </c>
      <c r="G44" s="144">
        <f t="shared" si="8"/>
        <v>0</v>
      </c>
      <c r="H44" s="195">
        <f t="shared" si="9"/>
        <v>0</v>
      </c>
      <c r="I44" s="144">
        <f t="shared" si="8"/>
        <v>0</v>
      </c>
      <c r="J44" s="195">
        <f t="shared" si="10"/>
        <v>0</v>
      </c>
      <c r="K44" s="144">
        <f t="shared" si="8"/>
        <v>0</v>
      </c>
      <c r="L44" s="195">
        <f t="shared" si="11"/>
        <v>0</v>
      </c>
      <c r="M44" s="144">
        <f t="shared" si="8"/>
        <v>0</v>
      </c>
      <c r="N44" s="195">
        <f t="shared" si="12"/>
        <v>0</v>
      </c>
      <c r="O44" s="144">
        <f t="shared" si="8"/>
        <v>0</v>
      </c>
      <c r="P44" s="195">
        <f t="shared" si="13"/>
        <v>0</v>
      </c>
      <c r="Q44" s="144">
        <f t="shared" si="14"/>
        <v>0</v>
      </c>
      <c r="R44" s="195">
        <f t="shared" si="15"/>
        <v>0</v>
      </c>
      <c r="T44" s="144">
        <f t="shared" si="16"/>
        <v>0</v>
      </c>
      <c r="U44" s="144">
        <f t="shared" si="17"/>
        <v>0</v>
      </c>
      <c r="V44" s="144">
        <f t="shared" si="18"/>
        <v>0</v>
      </c>
      <c r="W44" s="144">
        <f t="shared" si="19"/>
        <v>0</v>
      </c>
      <c r="X44" s="144">
        <f t="shared" si="20"/>
        <v>0</v>
      </c>
      <c r="Y44" s="144">
        <f t="shared" si="21"/>
        <v>0</v>
      </c>
      <c r="Z44" s="144">
        <f t="shared" si="22"/>
        <v>0</v>
      </c>
      <c r="AA44" s="144">
        <f t="shared" si="23"/>
        <v>0</v>
      </c>
      <c r="AC44" s="12">
        <f t="shared" si="38"/>
        <v>0</v>
      </c>
      <c r="AD44" s="12">
        <f t="shared" si="0"/>
        <v>0</v>
      </c>
      <c r="AE44" s="12">
        <f t="shared" si="1"/>
        <v>0</v>
      </c>
      <c r="AF44" s="12">
        <f t="shared" si="2"/>
        <v>0</v>
      </c>
      <c r="AG44" s="12">
        <f t="shared" si="3"/>
        <v>0</v>
      </c>
      <c r="AH44" s="12">
        <f t="shared" si="4"/>
        <v>0</v>
      </c>
      <c r="AI44" s="12">
        <f t="shared" si="5"/>
        <v>0</v>
      </c>
      <c r="AJ44" s="12">
        <f t="shared" si="6"/>
        <v>0</v>
      </c>
      <c r="AL44" s="13">
        <f t="shared" si="24"/>
        <v>0</v>
      </c>
      <c r="AM44" s="13">
        <f t="shared" si="25"/>
        <v>0</v>
      </c>
      <c r="AN44" s="13">
        <f t="shared" si="26"/>
        <v>0</v>
      </c>
      <c r="AO44" s="13">
        <f t="shared" si="27"/>
        <v>0</v>
      </c>
      <c r="AP44" s="13">
        <f t="shared" si="28"/>
        <v>0</v>
      </c>
      <c r="AQ44" s="13">
        <f t="shared" si="29"/>
        <v>0</v>
      </c>
      <c r="AR44" s="13">
        <f t="shared" si="30"/>
        <v>0</v>
      </c>
      <c r="AS44" s="13">
        <f t="shared" si="31"/>
        <v>0</v>
      </c>
      <c r="AT44" s="13">
        <f t="shared" si="32"/>
        <v>0</v>
      </c>
      <c r="AU44" s="13">
        <f t="shared" si="33"/>
        <v>0</v>
      </c>
      <c r="AV44" s="13">
        <f t="shared" si="34"/>
        <v>0</v>
      </c>
      <c r="AW44" s="13">
        <f t="shared" si="35"/>
        <v>0</v>
      </c>
    </row>
    <row r="45" spans="2:49" x14ac:dyDescent="0.3">
      <c r="B45" s="195">
        <v>6</v>
      </c>
      <c r="C45" s="144">
        <f t="shared" si="36"/>
        <v>0</v>
      </c>
      <c r="D45" s="195">
        <f t="shared" si="37"/>
        <v>0</v>
      </c>
      <c r="E45" s="144">
        <f t="shared" si="8"/>
        <v>0</v>
      </c>
      <c r="F45" s="195">
        <f t="shared" si="37"/>
        <v>0</v>
      </c>
      <c r="G45" s="144">
        <f t="shared" si="8"/>
        <v>0</v>
      </c>
      <c r="H45" s="195">
        <f t="shared" si="9"/>
        <v>0</v>
      </c>
      <c r="I45" s="144">
        <f t="shared" si="8"/>
        <v>0</v>
      </c>
      <c r="J45" s="195">
        <f t="shared" si="10"/>
        <v>0</v>
      </c>
      <c r="K45" s="144">
        <f t="shared" si="8"/>
        <v>0</v>
      </c>
      <c r="L45" s="195">
        <f t="shared" si="11"/>
        <v>0</v>
      </c>
      <c r="M45" s="144">
        <f t="shared" si="8"/>
        <v>0</v>
      </c>
      <c r="N45" s="195">
        <f t="shared" si="12"/>
        <v>0</v>
      </c>
      <c r="O45" s="144">
        <f t="shared" si="8"/>
        <v>0</v>
      </c>
      <c r="P45" s="195">
        <f t="shared" si="13"/>
        <v>0</v>
      </c>
      <c r="Q45" s="144">
        <f t="shared" si="14"/>
        <v>0</v>
      </c>
      <c r="R45" s="195">
        <f t="shared" si="15"/>
        <v>0</v>
      </c>
      <c r="T45" s="144">
        <f t="shared" si="16"/>
        <v>0</v>
      </c>
      <c r="U45" s="144">
        <f t="shared" si="17"/>
        <v>0</v>
      </c>
      <c r="V45" s="144">
        <f t="shared" si="18"/>
        <v>0</v>
      </c>
      <c r="W45" s="144">
        <f t="shared" si="19"/>
        <v>0</v>
      </c>
      <c r="X45" s="144">
        <f t="shared" si="20"/>
        <v>0</v>
      </c>
      <c r="Y45" s="144">
        <f t="shared" si="21"/>
        <v>0</v>
      </c>
      <c r="Z45" s="144">
        <f t="shared" si="22"/>
        <v>0</v>
      </c>
      <c r="AA45" s="144">
        <f t="shared" si="23"/>
        <v>0</v>
      </c>
      <c r="AC45" s="12">
        <f t="shared" si="38"/>
        <v>0</v>
      </c>
      <c r="AD45" s="12">
        <f t="shared" si="0"/>
        <v>0</v>
      </c>
      <c r="AE45" s="12">
        <f t="shared" si="1"/>
        <v>0</v>
      </c>
      <c r="AF45" s="12">
        <f t="shared" si="2"/>
        <v>0</v>
      </c>
      <c r="AG45" s="12">
        <f t="shared" si="3"/>
        <v>0</v>
      </c>
      <c r="AH45" s="12">
        <f t="shared" si="4"/>
        <v>0</v>
      </c>
      <c r="AI45" s="12">
        <f t="shared" si="5"/>
        <v>0</v>
      </c>
      <c r="AJ45" s="12">
        <f t="shared" si="6"/>
        <v>0</v>
      </c>
      <c r="AL45" s="13">
        <f t="shared" si="24"/>
        <v>0</v>
      </c>
      <c r="AM45" s="13">
        <f t="shared" si="25"/>
        <v>0</v>
      </c>
      <c r="AN45" s="13">
        <f t="shared" si="26"/>
        <v>0</v>
      </c>
      <c r="AO45" s="13">
        <f t="shared" si="27"/>
        <v>0</v>
      </c>
      <c r="AP45" s="13">
        <f t="shared" si="28"/>
        <v>0</v>
      </c>
      <c r="AQ45" s="13">
        <f t="shared" si="29"/>
        <v>0</v>
      </c>
      <c r="AR45" s="13">
        <f t="shared" si="30"/>
        <v>0</v>
      </c>
      <c r="AS45" s="13">
        <f t="shared" si="31"/>
        <v>0</v>
      </c>
      <c r="AT45" s="13">
        <f t="shared" si="32"/>
        <v>0</v>
      </c>
      <c r="AU45" s="13">
        <f t="shared" si="33"/>
        <v>0</v>
      </c>
      <c r="AV45" s="13">
        <f t="shared" si="34"/>
        <v>0</v>
      </c>
      <c r="AW45" s="13">
        <f t="shared" si="35"/>
        <v>0</v>
      </c>
    </row>
    <row r="46" spans="2:49" x14ac:dyDescent="0.3">
      <c r="B46" s="195">
        <v>5</v>
      </c>
      <c r="C46" s="144">
        <f t="shared" si="36"/>
        <v>0</v>
      </c>
      <c r="D46" s="195">
        <f t="shared" si="37"/>
        <v>0</v>
      </c>
      <c r="E46" s="144">
        <f t="shared" si="8"/>
        <v>0</v>
      </c>
      <c r="F46" s="195">
        <f t="shared" si="37"/>
        <v>0</v>
      </c>
      <c r="G46" s="144">
        <f t="shared" si="8"/>
        <v>0</v>
      </c>
      <c r="H46" s="195">
        <f t="shared" si="9"/>
        <v>0</v>
      </c>
      <c r="I46" s="144">
        <f t="shared" si="8"/>
        <v>0</v>
      </c>
      <c r="J46" s="195">
        <f t="shared" si="10"/>
        <v>0</v>
      </c>
      <c r="K46" s="144">
        <f t="shared" si="8"/>
        <v>0</v>
      </c>
      <c r="L46" s="195">
        <f t="shared" si="11"/>
        <v>0</v>
      </c>
      <c r="M46" s="144">
        <f t="shared" si="8"/>
        <v>0</v>
      </c>
      <c r="N46" s="195">
        <f t="shared" si="12"/>
        <v>0</v>
      </c>
      <c r="O46" s="144">
        <f t="shared" si="8"/>
        <v>0</v>
      </c>
      <c r="P46" s="195">
        <f t="shared" si="13"/>
        <v>0</v>
      </c>
      <c r="Q46" s="144">
        <f t="shared" si="14"/>
        <v>0</v>
      </c>
      <c r="R46" s="195">
        <f t="shared" si="15"/>
        <v>0</v>
      </c>
      <c r="T46" s="144">
        <f t="shared" si="16"/>
        <v>0</v>
      </c>
      <c r="U46" s="144">
        <f t="shared" si="17"/>
        <v>0</v>
      </c>
      <c r="V46" s="144">
        <f t="shared" si="18"/>
        <v>0</v>
      </c>
      <c r="W46" s="144">
        <f t="shared" si="19"/>
        <v>0</v>
      </c>
      <c r="X46" s="144">
        <f t="shared" si="20"/>
        <v>0</v>
      </c>
      <c r="Y46" s="144">
        <f t="shared" si="21"/>
        <v>0</v>
      </c>
      <c r="Z46" s="144">
        <f t="shared" si="22"/>
        <v>0</v>
      </c>
      <c r="AA46" s="144">
        <f t="shared" si="23"/>
        <v>0</v>
      </c>
      <c r="AC46" s="12">
        <f t="shared" ref="AC46:AJ50" si="39">T46/100</f>
        <v>0</v>
      </c>
      <c r="AD46" s="12">
        <f t="shared" si="39"/>
        <v>0</v>
      </c>
      <c r="AE46" s="12">
        <f t="shared" si="39"/>
        <v>0</v>
      </c>
      <c r="AF46" s="12">
        <f t="shared" si="39"/>
        <v>0</v>
      </c>
      <c r="AG46" s="12">
        <f t="shared" si="39"/>
        <v>0</v>
      </c>
      <c r="AH46" s="12">
        <f t="shared" si="39"/>
        <v>0</v>
      </c>
      <c r="AI46" s="12">
        <f t="shared" si="39"/>
        <v>0</v>
      </c>
      <c r="AJ46" s="12">
        <f t="shared" si="39"/>
        <v>0</v>
      </c>
      <c r="AL46" s="13">
        <f>AC46</f>
        <v>0</v>
      </c>
      <c r="AM46" s="13">
        <f>AC46</f>
        <v>0</v>
      </c>
      <c r="AN46" s="13">
        <f t="shared" ref="AN46:AU50" si="40">AC46</f>
        <v>0</v>
      </c>
      <c r="AO46" s="13">
        <f t="shared" si="40"/>
        <v>0</v>
      </c>
      <c r="AP46" s="13">
        <f t="shared" si="40"/>
        <v>0</v>
      </c>
      <c r="AQ46" s="13">
        <f t="shared" si="40"/>
        <v>0</v>
      </c>
      <c r="AR46" s="13">
        <f t="shared" si="40"/>
        <v>0</v>
      </c>
      <c r="AS46" s="13">
        <f t="shared" si="40"/>
        <v>0</v>
      </c>
      <c r="AT46" s="13">
        <f t="shared" si="40"/>
        <v>0</v>
      </c>
      <c r="AU46" s="13">
        <f t="shared" si="40"/>
        <v>0</v>
      </c>
      <c r="AV46" s="13">
        <f>AJ46</f>
        <v>0</v>
      </c>
      <c r="AW46" s="13">
        <f>AJ46</f>
        <v>0</v>
      </c>
    </row>
    <row r="47" spans="2:49" x14ac:dyDescent="0.3">
      <c r="B47" s="195">
        <v>4</v>
      </c>
      <c r="C47" s="144">
        <f t="shared" si="36"/>
        <v>0</v>
      </c>
      <c r="D47" s="195">
        <f t="shared" si="37"/>
        <v>0</v>
      </c>
      <c r="E47" s="144">
        <f t="shared" si="8"/>
        <v>0</v>
      </c>
      <c r="F47" s="195">
        <f t="shared" si="37"/>
        <v>0</v>
      </c>
      <c r="G47" s="144">
        <f t="shared" si="8"/>
        <v>4</v>
      </c>
      <c r="H47" s="195">
        <f t="shared" si="9"/>
        <v>8.6561350357065567E-2</v>
      </c>
      <c r="I47" s="144">
        <f t="shared" si="8"/>
        <v>1</v>
      </c>
      <c r="J47" s="195">
        <f t="shared" si="10"/>
        <v>1.358695652173913E-2</v>
      </c>
      <c r="K47" s="144">
        <f t="shared" si="8"/>
        <v>0</v>
      </c>
      <c r="L47" s="195">
        <f t="shared" si="11"/>
        <v>0</v>
      </c>
      <c r="M47" s="144">
        <f t="shared" si="8"/>
        <v>6</v>
      </c>
      <c r="N47" s="195">
        <f t="shared" si="12"/>
        <v>0.15523932729624837</v>
      </c>
      <c r="O47" s="144">
        <f t="shared" si="8"/>
        <v>0</v>
      </c>
      <c r="P47" s="195">
        <f t="shared" si="13"/>
        <v>0</v>
      </c>
      <c r="Q47" s="144">
        <f t="shared" si="14"/>
        <v>0</v>
      </c>
      <c r="R47" s="195">
        <f t="shared" si="15"/>
        <v>0</v>
      </c>
      <c r="T47" s="144">
        <f t="shared" si="16"/>
        <v>0</v>
      </c>
      <c r="U47" s="144">
        <f t="shared" si="17"/>
        <v>0</v>
      </c>
      <c r="V47" s="144">
        <f t="shared" si="18"/>
        <v>8.6561350357065567E-2</v>
      </c>
      <c r="W47" s="144">
        <f t="shared" si="19"/>
        <v>1.358695652173913E-2</v>
      </c>
      <c r="X47" s="144">
        <f t="shared" si="20"/>
        <v>0</v>
      </c>
      <c r="Y47" s="144">
        <f t="shared" si="21"/>
        <v>0.15523932729624837</v>
      </c>
      <c r="Z47" s="144">
        <f t="shared" si="22"/>
        <v>0</v>
      </c>
      <c r="AA47" s="144">
        <f t="shared" si="23"/>
        <v>0</v>
      </c>
      <c r="AC47" s="12">
        <f t="shared" si="39"/>
        <v>0</v>
      </c>
      <c r="AD47" s="12">
        <f t="shared" si="39"/>
        <v>0</v>
      </c>
      <c r="AE47" s="12">
        <f t="shared" si="39"/>
        <v>8.6561350357065565E-4</v>
      </c>
      <c r="AF47" s="12">
        <f t="shared" si="39"/>
        <v>1.3586956521739131E-4</v>
      </c>
      <c r="AG47" s="12">
        <f t="shared" si="39"/>
        <v>0</v>
      </c>
      <c r="AH47" s="12">
        <f t="shared" si="39"/>
        <v>1.5523932729624838E-3</v>
      </c>
      <c r="AI47" s="12">
        <f t="shared" si="39"/>
        <v>0</v>
      </c>
      <c r="AJ47" s="12">
        <f t="shared" si="39"/>
        <v>0</v>
      </c>
      <c r="AL47" s="13">
        <f>AC47</f>
        <v>0</v>
      </c>
      <c r="AM47" s="13">
        <f>AC47</f>
        <v>0</v>
      </c>
      <c r="AN47" s="13">
        <f t="shared" si="40"/>
        <v>0</v>
      </c>
      <c r="AO47" s="13">
        <f t="shared" si="40"/>
        <v>0</v>
      </c>
      <c r="AP47" s="13">
        <f t="shared" si="40"/>
        <v>8.6561350357065565E-4</v>
      </c>
      <c r="AQ47" s="13">
        <f t="shared" si="40"/>
        <v>1.3586956521739131E-4</v>
      </c>
      <c r="AR47" s="13">
        <f t="shared" si="40"/>
        <v>0</v>
      </c>
      <c r="AS47" s="13">
        <f t="shared" si="40"/>
        <v>1.5523932729624838E-3</v>
      </c>
      <c r="AT47" s="13">
        <f t="shared" si="40"/>
        <v>0</v>
      </c>
      <c r="AU47" s="13">
        <f t="shared" si="40"/>
        <v>0</v>
      </c>
      <c r="AV47" s="13">
        <f>AJ47</f>
        <v>0</v>
      </c>
      <c r="AW47" s="13">
        <f>AJ47</f>
        <v>0</v>
      </c>
    </row>
    <row r="48" spans="2:49" x14ac:dyDescent="0.3">
      <c r="B48" s="195">
        <v>3</v>
      </c>
      <c r="C48" s="144">
        <f t="shared" si="36"/>
        <v>0</v>
      </c>
      <c r="D48" s="195">
        <f t="shared" si="37"/>
        <v>0</v>
      </c>
      <c r="E48" s="144">
        <f t="shared" si="8"/>
        <v>0</v>
      </c>
      <c r="F48" s="195">
        <f t="shared" si="37"/>
        <v>0</v>
      </c>
      <c r="G48" s="144">
        <f t="shared" si="8"/>
        <v>14</v>
      </c>
      <c r="H48" s="195">
        <f t="shared" si="9"/>
        <v>0.30296472624972953</v>
      </c>
      <c r="I48" s="144">
        <f t="shared" si="8"/>
        <v>13</v>
      </c>
      <c r="J48" s="195">
        <f t="shared" si="10"/>
        <v>0.1766304347826087</v>
      </c>
      <c r="K48" s="144">
        <f t="shared" si="8"/>
        <v>0</v>
      </c>
      <c r="L48" s="195">
        <f t="shared" si="11"/>
        <v>0</v>
      </c>
      <c r="M48" s="144">
        <f t="shared" si="8"/>
        <v>32</v>
      </c>
      <c r="N48" s="195">
        <f t="shared" si="12"/>
        <v>0.82794307891332475</v>
      </c>
      <c r="O48" s="144">
        <f t="shared" si="8"/>
        <v>0</v>
      </c>
      <c r="P48" s="195">
        <f t="shared" si="13"/>
        <v>0</v>
      </c>
      <c r="Q48" s="144">
        <f t="shared" si="14"/>
        <v>1</v>
      </c>
      <c r="R48" s="195">
        <f t="shared" si="15"/>
        <v>1.802776275464215E-2</v>
      </c>
      <c r="T48" s="144">
        <f t="shared" si="16"/>
        <v>0</v>
      </c>
      <c r="U48" s="144">
        <f t="shared" si="17"/>
        <v>0</v>
      </c>
      <c r="V48" s="144">
        <f t="shared" si="18"/>
        <v>0.30296472624972953</v>
      </c>
      <c r="W48" s="144">
        <f t="shared" si="19"/>
        <v>0.1766304347826087</v>
      </c>
      <c r="X48" s="144">
        <f t="shared" si="20"/>
        <v>0</v>
      </c>
      <c r="Y48" s="144">
        <f t="shared" si="21"/>
        <v>0.82794307891332475</v>
      </c>
      <c r="Z48" s="144">
        <f t="shared" si="22"/>
        <v>0</v>
      </c>
      <c r="AA48" s="144">
        <f t="shared" si="23"/>
        <v>1.802776275464215E-2</v>
      </c>
      <c r="AC48" s="12">
        <f t="shared" si="39"/>
        <v>0</v>
      </c>
      <c r="AD48" s="12">
        <f t="shared" si="39"/>
        <v>0</v>
      </c>
      <c r="AE48" s="12">
        <f t="shared" si="39"/>
        <v>3.0296472624972955E-3</v>
      </c>
      <c r="AF48" s="12">
        <f t="shared" si="39"/>
        <v>1.766304347826087E-3</v>
      </c>
      <c r="AG48" s="12">
        <f t="shared" si="39"/>
        <v>0</v>
      </c>
      <c r="AH48" s="12">
        <f t="shared" si="39"/>
        <v>8.2794307891332474E-3</v>
      </c>
      <c r="AI48" s="12">
        <f t="shared" si="39"/>
        <v>0</v>
      </c>
      <c r="AJ48" s="12">
        <f t="shared" si="39"/>
        <v>1.8027762754642149E-4</v>
      </c>
      <c r="AL48" s="13">
        <f>AC48</f>
        <v>0</v>
      </c>
      <c r="AM48" s="13">
        <f>AC48</f>
        <v>0</v>
      </c>
      <c r="AN48" s="13">
        <f t="shared" si="40"/>
        <v>0</v>
      </c>
      <c r="AO48" s="13">
        <f t="shared" si="40"/>
        <v>0</v>
      </c>
      <c r="AP48" s="13">
        <f t="shared" si="40"/>
        <v>3.0296472624972955E-3</v>
      </c>
      <c r="AQ48" s="13">
        <f t="shared" si="40"/>
        <v>1.766304347826087E-3</v>
      </c>
      <c r="AR48" s="13">
        <f t="shared" si="40"/>
        <v>0</v>
      </c>
      <c r="AS48" s="13">
        <f t="shared" si="40"/>
        <v>8.2794307891332474E-3</v>
      </c>
      <c r="AT48" s="13">
        <f t="shared" si="40"/>
        <v>0</v>
      </c>
      <c r="AU48" s="13">
        <f t="shared" si="40"/>
        <v>1.8027762754642149E-4</v>
      </c>
      <c r="AV48" s="13">
        <f>AJ48</f>
        <v>1.8027762754642149E-4</v>
      </c>
      <c r="AW48" s="13">
        <f>AJ48</f>
        <v>1.8027762754642149E-4</v>
      </c>
    </row>
    <row r="49" spans="1:60" x14ac:dyDescent="0.3">
      <c r="B49" s="195">
        <v>2</v>
      </c>
      <c r="C49" s="144">
        <f t="shared" si="36"/>
        <v>6</v>
      </c>
      <c r="D49" s="195">
        <f t="shared" si="37"/>
        <v>0.13544018058690743</v>
      </c>
      <c r="E49" s="144">
        <f t="shared" si="8"/>
        <v>30</v>
      </c>
      <c r="F49" s="195">
        <f t="shared" si="37"/>
        <v>0.77359463641052095</v>
      </c>
      <c r="G49" s="144">
        <f t="shared" si="8"/>
        <v>52</v>
      </c>
      <c r="H49" s="195">
        <f t="shared" si="9"/>
        <v>1.1252975546418524</v>
      </c>
      <c r="I49" s="144">
        <f t="shared" si="8"/>
        <v>71</v>
      </c>
      <c r="J49" s="195">
        <f t="shared" si="10"/>
        <v>0.96467391304347827</v>
      </c>
      <c r="K49" s="144">
        <f t="shared" si="8"/>
        <v>12</v>
      </c>
      <c r="L49" s="195">
        <f t="shared" si="11"/>
        <v>0.2154011847065159</v>
      </c>
      <c r="M49" s="144">
        <f t="shared" si="8"/>
        <v>67</v>
      </c>
      <c r="N49" s="195">
        <f t="shared" si="12"/>
        <v>1.7335058214747738</v>
      </c>
      <c r="O49" s="144">
        <f t="shared" si="8"/>
        <v>35</v>
      </c>
      <c r="P49" s="195">
        <f t="shared" si="13"/>
        <v>1.3784954706577393</v>
      </c>
      <c r="Q49" s="144">
        <f t="shared" si="14"/>
        <v>30</v>
      </c>
      <c r="R49" s="195">
        <f t="shared" si="15"/>
        <v>0.54083288263926443</v>
      </c>
      <c r="T49" s="144">
        <f t="shared" si="16"/>
        <v>0.13544018058690743</v>
      </c>
      <c r="U49" s="144">
        <f t="shared" si="17"/>
        <v>0.77359463641052095</v>
      </c>
      <c r="V49" s="144">
        <f t="shared" si="18"/>
        <v>1.1252975546418524</v>
      </c>
      <c r="W49" s="144">
        <f t="shared" si="19"/>
        <v>0.96467391304347827</v>
      </c>
      <c r="X49" s="144">
        <f t="shared" si="20"/>
        <v>0.2154011847065159</v>
      </c>
      <c r="Y49" s="144">
        <f t="shared" si="21"/>
        <v>1.7335058214747738</v>
      </c>
      <c r="Z49" s="144">
        <f t="shared" si="22"/>
        <v>1.3784954706577393</v>
      </c>
      <c r="AA49" s="144">
        <f t="shared" si="23"/>
        <v>0.54083288263926443</v>
      </c>
      <c r="AC49" s="12">
        <f t="shared" si="39"/>
        <v>1.3544018058690742E-3</v>
      </c>
      <c r="AD49" s="12">
        <f t="shared" si="39"/>
        <v>7.7359463641052091E-3</v>
      </c>
      <c r="AE49" s="12">
        <f t="shared" si="39"/>
        <v>1.1252975546418525E-2</v>
      </c>
      <c r="AF49" s="12">
        <f t="shared" si="39"/>
        <v>9.6467391304347824E-3</v>
      </c>
      <c r="AG49" s="12">
        <f t="shared" si="39"/>
        <v>2.1540118470651588E-3</v>
      </c>
      <c r="AH49" s="12">
        <f t="shared" si="39"/>
        <v>1.7335058214747737E-2</v>
      </c>
      <c r="AI49" s="12">
        <f t="shared" si="39"/>
        <v>1.3784954706577392E-2</v>
      </c>
      <c r="AJ49" s="12">
        <f t="shared" si="39"/>
        <v>5.408328826392644E-3</v>
      </c>
      <c r="AL49" s="13">
        <f>AC49</f>
        <v>1.3544018058690742E-3</v>
      </c>
      <c r="AM49" s="13">
        <f>AC49</f>
        <v>1.3544018058690742E-3</v>
      </c>
      <c r="AN49" s="13">
        <f t="shared" si="40"/>
        <v>1.3544018058690742E-3</v>
      </c>
      <c r="AO49" s="13">
        <f t="shared" si="40"/>
        <v>7.7359463641052091E-3</v>
      </c>
      <c r="AP49" s="13">
        <f t="shared" si="40"/>
        <v>1.1252975546418525E-2</v>
      </c>
      <c r="AQ49" s="13">
        <f t="shared" si="40"/>
        <v>9.6467391304347824E-3</v>
      </c>
      <c r="AR49" s="13">
        <f t="shared" si="40"/>
        <v>2.1540118470651588E-3</v>
      </c>
      <c r="AS49" s="13">
        <f t="shared" si="40"/>
        <v>1.7335058214747737E-2</v>
      </c>
      <c r="AT49" s="13">
        <f t="shared" si="40"/>
        <v>1.3784954706577392E-2</v>
      </c>
      <c r="AU49" s="13">
        <f t="shared" si="40"/>
        <v>5.408328826392644E-3</v>
      </c>
      <c r="AV49" s="13">
        <f>AJ49</f>
        <v>5.408328826392644E-3</v>
      </c>
      <c r="AW49" s="13">
        <f>AJ49</f>
        <v>5.408328826392644E-3</v>
      </c>
    </row>
    <row r="50" spans="1:60" x14ac:dyDescent="0.3">
      <c r="B50" s="195">
        <v>1</v>
      </c>
      <c r="C50" s="144">
        <f t="shared" si="36"/>
        <v>176</v>
      </c>
      <c r="D50" s="195">
        <f t="shared" si="37"/>
        <v>3.9729119638826185</v>
      </c>
      <c r="E50" s="144">
        <f t="shared" si="8"/>
        <v>185</v>
      </c>
      <c r="F50" s="195">
        <f t="shared" si="37"/>
        <v>4.7705002578648781</v>
      </c>
      <c r="G50" s="144">
        <f t="shared" si="8"/>
        <v>237</v>
      </c>
      <c r="H50" s="195">
        <f t="shared" si="9"/>
        <v>5.1287600086561351</v>
      </c>
      <c r="I50" s="144">
        <f t="shared" si="8"/>
        <v>243</v>
      </c>
      <c r="J50" s="195">
        <f t="shared" si="10"/>
        <v>3.3016304347826084</v>
      </c>
      <c r="K50" s="144">
        <f t="shared" si="8"/>
        <v>97</v>
      </c>
      <c r="L50" s="195">
        <f t="shared" si="11"/>
        <v>1.7411595763776699</v>
      </c>
      <c r="M50" s="144">
        <f t="shared" si="8"/>
        <v>158</v>
      </c>
      <c r="N50" s="195">
        <f t="shared" si="12"/>
        <v>4.087968952134541</v>
      </c>
      <c r="O50" s="144">
        <f t="shared" si="8"/>
        <v>186</v>
      </c>
      <c r="P50" s="195">
        <f t="shared" si="13"/>
        <v>7.3257187869239866</v>
      </c>
      <c r="Q50" s="144">
        <f t="shared" si="14"/>
        <v>243</v>
      </c>
      <c r="R50" s="195">
        <f t="shared" si="15"/>
        <v>4.3807463493780423</v>
      </c>
      <c r="T50" s="144">
        <f t="shared" si="16"/>
        <v>3.9729119638826185</v>
      </c>
      <c r="U50" s="144">
        <f t="shared" si="17"/>
        <v>4.7705002578648781</v>
      </c>
      <c r="V50" s="144">
        <f t="shared" si="18"/>
        <v>5.1287600086561351</v>
      </c>
      <c r="W50" s="144">
        <f t="shared" si="19"/>
        <v>3.3016304347826084</v>
      </c>
      <c r="X50" s="144">
        <f t="shared" si="20"/>
        <v>1.7411595763776699</v>
      </c>
      <c r="Y50" s="144">
        <f t="shared" si="21"/>
        <v>4.087968952134541</v>
      </c>
      <c r="Z50" s="144">
        <f t="shared" si="22"/>
        <v>7.3257187869239866</v>
      </c>
      <c r="AA50" s="144">
        <f t="shared" si="23"/>
        <v>4.3807463493780423</v>
      </c>
      <c r="AC50" s="12">
        <f t="shared" si="39"/>
        <v>3.9729119638826187E-2</v>
      </c>
      <c r="AD50" s="12">
        <f t="shared" si="39"/>
        <v>4.7705002578648778E-2</v>
      </c>
      <c r="AE50" s="12">
        <f t="shared" si="39"/>
        <v>5.1287600086561351E-2</v>
      </c>
      <c r="AF50" s="12">
        <f t="shared" si="39"/>
        <v>3.3016304347826084E-2</v>
      </c>
      <c r="AG50" s="12">
        <f t="shared" si="39"/>
        <v>1.74115957637767E-2</v>
      </c>
      <c r="AH50" s="12">
        <f t="shared" si="39"/>
        <v>4.0879689521345408E-2</v>
      </c>
      <c r="AI50" s="12">
        <f t="shared" si="39"/>
        <v>7.3257187869239862E-2</v>
      </c>
      <c r="AJ50" s="12">
        <f t="shared" si="39"/>
        <v>4.3807463493780424E-2</v>
      </c>
      <c r="AL50" s="13">
        <f>AC50</f>
        <v>3.9729119638826187E-2</v>
      </c>
      <c r="AM50" s="13">
        <f>AC50</f>
        <v>3.9729119638826187E-2</v>
      </c>
      <c r="AN50" s="13">
        <f t="shared" si="40"/>
        <v>3.9729119638826187E-2</v>
      </c>
      <c r="AO50" s="13">
        <f t="shared" si="40"/>
        <v>4.7705002578648778E-2</v>
      </c>
      <c r="AP50" s="13">
        <f t="shared" si="40"/>
        <v>5.1287600086561351E-2</v>
      </c>
      <c r="AQ50" s="13">
        <f t="shared" si="40"/>
        <v>3.3016304347826084E-2</v>
      </c>
      <c r="AR50" s="13">
        <f t="shared" si="40"/>
        <v>1.74115957637767E-2</v>
      </c>
      <c r="AS50" s="13">
        <f t="shared" si="40"/>
        <v>4.0879689521345408E-2</v>
      </c>
      <c r="AT50" s="13">
        <f t="shared" si="40"/>
        <v>7.3257187869239862E-2</v>
      </c>
      <c r="AU50" s="13">
        <f t="shared" si="40"/>
        <v>4.3807463493780424E-2</v>
      </c>
      <c r="AV50" s="13">
        <f>AJ50</f>
        <v>4.3807463493780424E-2</v>
      </c>
      <c r="AW50" s="13">
        <f>AJ50</f>
        <v>4.3807463493780424E-2</v>
      </c>
    </row>
    <row r="51" spans="1:60" x14ac:dyDescent="0.3">
      <c r="D51" s="197"/>
      <c r="E51" s="197"/>
      <c r="F51" s="197"/>
      <c r="G51" s="197"/>
      <c r="H51" s="197"/>
      <c r="I51" s="197"/>
      <c r="J51" s="197"/>
      <c r="K51" s="197"/>
      <c r="L51" s="197"/>
      <c r="M51" s="197"/>
      <c r="N51" s="197"/>
    </row>
    <row r="52" spans="1:60" x14ac:dyDescent="0.3">
      <c r="A52" s="213"/>
      <c r="B52" s="213"/>
      <c r="C52" s="213"/>
      <c r="D52" s="213"/>
      <c r="E52" s="213" t="s">
        <v>57</v>
      </c>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I52" s="195">
        <v>1</v>
      </c>
      <c r="AK52" s="195">
        <v>2</v>
      </c>
      <c r="AM52" s="195">
        <v>3</v>
      </c>
      <c r="AO52" s="195">
        <v>4</v>
      </c>
      <c r="AQ52" s="195">
        <v>5</v>
      </c>
      <c r="AS52" s="195">
        <v>6</v>
      </c>
      <c r="AU52" s="195">
        <v>7</v>
      </c>
      <c r="AW52" s="195">
        <v>8</v>
      </c>
      <c r="AY52" s="195">
        <v>9</v>
      </c>
      <c r="BA52" s="195">
        <v>10</v>
      </c>
      <c r="BC52" s="195">
        <v>11</v>
      </c>
      <c r="BE52" s="195">
        <v>12</v>
      </c>
      <c r="BG52" s="195" t="s">
        <v>53</v>
      </c>
    </row>
    <row r="53" spans="1:60" x14ac:dyDescent="0.3">
      <c r="AG53" s="195" t="s">
        <v>57</v>
      </c>
      <c r="AH53" s="195" t="s">
        <v>50</v>
      </c>
      <c r="AJ53" s="195">
        <v>32</v>
      </c>
      <c r="AL53" s="195">
        <v>26</v>
      </c>
      <c r="AN53" s="195">
        <v>179</v>
      </c>
      <c r="AP53" s="195">
        <v>272</v>
      </c>
      <c r="AR53" s="195">
        <v>286</v>
      </c>
      <c r="AT53" s="195">
        <v>253</v>
      </c>
      <c r="AV53" s="195">
        <v>184</v>
      </c>
      <c r="AX53" s="195">
        <v>281</v>
      </c>
      <c r="AZ53" s="195">
        <v>295</v>
      </c>
      <c r="BB53" s="195">
        <v>253</v>
      </c>
      <c r="BD53" s="195">
        <v>64</v>
      </c>
      <c r="BF53" s="195">
        <v>93</v>
      </c>
      <c r="BG53" s="195">
        <f>SUM(AJ53:BF53)</f>
        <v>2218</v>
      </c>
      <c r="BH53" s="195">
        <v>100</v>
      </c>
    </row>
    <row r="54" spans="1:60" x14ac:dyDescent="0.3">
      <c r="B54" s="195" t="s">
        <v>44</v>
      </c>
      <c r="C54" s="195">
        <v>1</v>
      </c>
      <c r="E54" s="195">
        <v>2</v>
      </c>
      <c r="G54" s="195">
        <v>3</v>
      </c>
      <c r="I54" s="195">
        <v>4</v>
      </c>
      <c r="K54" s="195">
        <v>5</v>
      </c>
      <c r="M54" s="195">
        <v>6</v>
      </c>
      <c r="O54" s="195">
        <v>7</v>
      </c>
      <c r="Q54" s="195">
        <v>8</v>
      </c>
      <c r="S54" s="195">
        <v>9</v>
      </c>
      <c r="U54" s="195">
        <v>10</v>
      </c>
      <c r="W54" s="195">
        <v>11</v>
      </c>
      <c r="Y54" s="195">
        <v>12</v>
      </c>
      <c r="AA54" s="195" t="s">
        <v>51</v>
      </c>
      <c r="AH54" s="195">
        <v>20</v>
      </c>
      <c r="AI54" s="195">
        <v>0</v>
      </c>
      <c r="AJ54" s="195">
        <v>0</v>
      </c>
      <c r="AK54" s="195">
        <v>0</v>
      </c>
      <c r="AL54" s="195">
        <v>0</v>
      </c>
      <c r="AM54" s="195">
        <v>0</v>
      </c>
      <c r="AN54" s="195">
        <v>0</v>
      </c>
      <c r="AO54" s="195">
        <v>0</v>
      </c>
      <c r="AP54" s="195">
        <v>0</v>
      </c>
      <c r="AQ54" s="195">
        <v>0</v>
      </c>
      <c r="AR54" s="195">
        <v>0</v>
      </c>
      <c r="AS54" s="195">
        <v>0</v>
      </c>
      <c r="AT54" s="195">
        <v>0</v>
      </c>
      <c r="AU54" s="195">
        <v>0</v>
      </c>
      <c r="AV54" s="195">
        <v>0</v>
      </c>
      <c r="AW54" s="195">
        <v>0</v>
      </c>
      <c r="AX54" s="195">
        <v>0</v>
      </c>
      <c r="AY54" s="195">
        <v>0</v>
      </c>
      <c r="AZ54" s="195">
        <v>0</v>
      </c>
      <c r="BA54" s="195">
        <v>0</v>
      </c>
      <c r="BB54" s="195">
        <v>0</v>
      </c>
      <c r="BC54" s="195">
        <v>0</v>
      </c>
      <c r="BD54" s="195">
        <v>0</v>
      </c>
      <c r="BE54" s="195">
        <v>0</v>
      </c>
      <c r="BF54" s="195">
        <v>0</v>
      </c>
      <c r="BG54" s="195">
        <v>0</v>
      </c>
      <c r="BH54" s="195">
        <v>0</v>
      </c>
    </row>
    <row r="55" spans="1:60" x14ac:dyDescent="0.3">
      <c r="B55" s="195" t="s">
        <v>45</v>
      </c>
      <c r="C55" s="195" t="s">
        <v>81</v>
      </c>
      <c r="E55" s="195" t="s">
        <v>81</v>
      </c>
      <c r="G55" s="195" t="s">
        <v>81</v>
      </c>
      <c r="I55" s="195" t="s">
        <v>81</v>
      </c>
      <c r="K55" s="195" t="s">
        <v>81</v>
      </c>
      <c r="M55" s="195" t="s">
        <v>81</v>
      </c>
      <c r="O55" s="195" t="s">
        <v>81</v>
      </c>
      <c r="Q55" s="195" t="s">
        <v>81</v>
      </c>
      <c r="S55" s="195" t="s">
        <v>81</v>
      </c>
      <c r="U55" s="195" t="s">
        <v>81</v>
      </c>
      <c r="W55" s="195" t="s">
        <v>81</v>
      </c>
      <c r="Y55" s="195" t="s">
        <v>81</v>
      </c>
      <c r="AA55" s="195" t="s">
        <v>81</v>
      </c>
      <c r="AH55" s="195">
        <v>19</v>
      </c>
      <c r="AI55" s="195">
        <v>0</v>
      </c>
      <c r="AJ55" s="195">
        <v>0</v>
      </c>
      <c r="AK55" s="195">
        <v>0</v>
      </c>
      <c r="AL55" s="195">
        <v>0</v>
      </c>
      <c r="AM55" s="195">
        <v>0</v>
      </c>
      <c r="AN55" s="195">
        <v>0</v>
      </c>
      <c r="AO55" s="195">
        <v>0</v>
      </c>
      <c r="AP55" s="195">
        <v>0</v>
      </c>
      <c r="AQ55" s="195">
        <v>0</v>
      </c>
      <c r="AR55" s="195">
        <v>0</v>
      </c>
      <c r="AS55" s="195">
        <v>0</v>
      </c>
      <c r="AT55" s="195">
        <v>0</v>
      </c>
      <c r="AU55" s="195">
        <v>0</v>
      </c>
      <c r="AV55" s="195">
        <v>0</v>
      </c>
      <c r="AW55" s="195">
        <v>0</v>
      </c>
      <c r="AX55" s="195">
        <v>0</v>
      </c>
      <c r="AY55" s="195">
        <v>0</v>
      </c>
      <c r="AZ55" s="195">
        <v>0</v>
      </c>
      <c r="BA55" s="195">
        <v>0</v>
      </c>
      <c r="BB55" s="195">
        <v>0</v>
      </c>
      <c r="BC55" s="195">
        <v>0</v>
      </c>
      <c r="BD55" s="195">
        <v>0</v>
      </c>
      <c r="BE55" s="195">
        <v>0</v>
      </c>
      <c r="BF55" s="195">
        <v>0</v>
      </c>
      <c r="BG55" s="195">
        <v>0</v>
      </c>
      <c r="BH55" s="195">
        <v>0</v>
      </c>
    </row>
    <row r="56" spans="1:60" x14ac:dyDescent="0.3">
      <c r="A56" s="195" t="s">
        <v>57</v>
      </c>
      <c r="B56" s="195" t="s">
        <v>52</v>
      </c>
      <c r="C56" s="195">
        <f>AJ53</f>
        <v>32</v>
      </c>
      <c r="D56" s="195">
        <v>100</v>
      </c>
      <c r="E56" s="195">
        <f t="shared" ref="E56:E76" si="41">AL53</f>
        <v>26</v>
      </c>
      <c r="F56" s="195">
        <v>100</v>
      </c>
      <c r="G56" s="195">
        <f t="shared" ref="G56:G76" si="42">AN53</f>
        <v>179</v>
      </c>
      <c r="H56" s="195">
        <v>100</v>
      </c>
      <c r="I56" s="195">
        <f t="shared" ref="I56:I76" si="43">AP53</f>
        <v>272</v>
      </c>
      <c r="J56" s="195">
        <v>100</v>
      </c>
      <c r="K56" s="195">
        <f t="shared" ref="K56:K76" si="44">AR53</f>
        <v>286</v>
      </c>
      <c r="L56" s="195">
        <v>100</v>
      </c>
      <c r="M56" s="195">
        <f t="shared" ref="M56:M76" si="45">AT53</f>
        <v>253</v>
      </c>
      <c r="N56" s="195">
        <v>100</v>
      </c>
      <c r="O56" s="195">
        <f t="shared" ref="O56:O76" si="46">AV53</f>
        <v>184</v>
      </c>
      <c r="P56" s="195">
        <v>100</v>
      </c>
      <c r="Q56" s="195">
        <f t="shared" ref="Q56:Q76" si="47">AX53</f>
        <v>281</v>
      </c>
      <c r="R56" s="195">
        <v>100</v>
      </c>
      <c r="S56" s="195">
        <f t="shared" ref="S56:S76" si="48">AZ53</f>
        <v>295</v>
      </c>
      <c r="T56" s="195">
        <v>100</v>
      </c>
      <c r="U56" s="195">
        <f t="shared" ref="U56:U76" si="49">BB53</f>
        <v>253</v>
      </c>
      <c r="V56" s="195">
        <v>100</v>
      </c>
      <c r="W56" s="195">
        <f t="shared" ref="W56:W76" si="50">BD53</f>
        <v>64</v>
      </c>
      <c r="X56" s="195">
        <v>100</v>
      </c>
      <c r="Y56" s="195">
        <f t="shared" ref="Y56:Y76" si="51">BF53</f>
        <v>93</v>
      </c>
      <c r="Z56" s="195">
        <v>100</v>
      </c>
      <c r="AA56" s="195">
        <f>BG53</f>
        <v>2218</v>
      </c>
      <c r="AB56" s="195">
        <f>BH53</f>
        <v>100</v>
      </c>
      <c r="AH56" s="195">
        <v>18</v>
      </c>
      <c r="AI56" s="195">
        <v>0</v>
      </c>
      <c r="AJ56" s="195">
        <v>0</v>
      </c>
      <c r="AK56" s="195">
        <v>0</v>
      </c>
      <c r="AL56" s="195">
        <v>0</v>
      </c>
      <c r="AM56" s="195">
        <v>0</v>
      </c>
      <c r="AN56" s="195">
        <v>0</v>
      </c>
      <c r="AO56" s="195">
        <v>0</v>
      </c>
      <c r="AP56" s="195">
        <v>0</v>
      </c>
      <c r="AQ56" s="195">
        <v>0</v>
      </c>
      <c r="AR56" s="195">
        <v>0</v>
      </c>
      <c r="AS56" s="195">
        <v>0</v>
      </c>
      <c r="AT56" s="195">
        <v>0</v>
      </c>
      <c r="AU56" s="195">
        <v>0</v>
      </c>
      <c r="AV56" s="195">
        <v>0</v>
      </c>
      <c r="AW56" s="195">
        <v>0</v>
      </c>
      <c r="AX56" s="195">
        <v>0</v>
      </c>
      <c r="AY56" s="195">
        <v>0</v>
      </c>
      <c r="AZ56" s="195">
        <v>0</v>
      </c>
      <c r="BA56" s="195">
        <v>0</v>
      </c>
      <c r="BB56" s="195">
        <v>0</v>
      </c>
      <c r="BC56" s="195">
        <v>0</v>
      </c>
      <c r="BD56" s="195">
        <v>0</v>
      </c>
      <c r="BE56" s="195">
        <v>0</v>
      </c>
      <c r="BF56" s="195">
        <v>0</v>
      </c>
      <c r="BG56" s="195">
        <v>0</v>
      </c>
      <c r="BH56" s="195">
        <v>0</v>
      </c>
    </row>
    <row r="57" spans="1:60" x14ac:dyDescent="0.3">
      <c r="B57" s="195">
        <v>20</v>
      </c>
      <c r="C57" s="195">
        <f t="shared" ref="C57:C76" si="52">AJ54</f>
        <v>0</v>
      </c>
      <c r="D57" s="195">
        <f t="shared" ref="D57:D76" si="53">AI54</f>
        <v>0</v>
      </c>
      <c r="E57" s="195">
        <f t="shared" si="41"/>
        <v>0</v>
      </c>
      <c r="F57" s="195">
        <f t="shared" ref="F57:F76" si="54">AK54</f>
        <v>0</v>
      </c>
      <c r="G57" s="195">
        <f t="shared" si="42"/>
        <v>0</v>
      </c>
      <c r="H57" s="195">
        <f t="shared" ref="H57:H76" si="55">AM54</f>
        <v>0</v>
      </c>
      <c r="I57" s="195">
        <f t="shared" si="43"/>
        <v>0</v>
      </c>
      <c r="J57" s="195">
        <f t="shared" ref="J57:J76" si="56">AO54</f>
        <v>0</v>
      </c>
      <c r="K57" s="195">
        <f t="shared" si="44"/>
        <v>0</v>
      </c>
      <c r="L57" s="195">
        <f t="shared" ref="L57:L76" si="57">AQ54</f>
        <v>0</v>
      </c>
      <c r="M57" s="195">
        <f t="shared" si="45"/>
        <v>0</v>
      </c>
      <c r="N57" s="195">
        <f t="shared" ref="N57:N76" si="58">AS54</f>
        <v>0</v>
      </c>
      <c r="O57" s="195">
        <f t="shared" si="46"/>
        <v>0</v>
      </c>
      <c r="P57" s="195">
        <f t="shared" ref="P57:P76" si="59">AU54</f>
        <v>0</v>
      </c>
      <c r="Q57" s="195">
        <f t="shared" si="47"/>
        <v>0</v>
      </c>
      <c r="R57" s="195">
        <f t="shared" ref="R57:R76" si="60">AW54</f>
        <v>0</v>
      </c>
      <c r="S57" s="195">
        <f t="shared" si="48"/>
        <v>0</v>
      </c>
      <c r="T57" s="195">
        <f t="shared" ref="T57:T76" si="61">AY54</f>
        <v>0</v>
      </c>
      <c r="U57" s="195">
        <f t="shared" si="49"/>
        <v>0</v>
      </c>
      <c r="V57" s="195">
        <f t="shared" ref="V57:V76" si="62">BA54</f>
        <v>0</v>
      </c>
      <c r="W57" s="195">
        <f t="shared" si="50"/>
        <v>0</v>
      </c>
      <c r="X57" s="195">
        <f t="shared" ref="X57:X76" si="63">BC54</f>
        <v>0</v>
      </c>
      <c r="Y57" s="195">
        <f t="shared" si="51"/>
        <v>0</v>
      </c>
      <c r="Z57" s="195">
        <f t="shared" ref="Z57:Z76" si="64">BE54</f>
        <v>0</v>
      </c>
      <c r="AA57" s="195">
        <f t="shared" ref="AA57:AB76" si="65">BG54</f>
        <v>0</v>
      </c>
      <c r="AB57" s="195">
        <f t="shared" si="65"/>
        <v>0</v>
      </c>
      <c r="AH57" s="195">
        <v>17</v>
      </c>
      <c r="AI57" s="195">
        <v>0</v>
      </c>
      <c r="AJ57" s="195">
        <v>0</v>
      </c>
      <c r="AK57" s="195">
        <v>0</v>
      </c>
      <c r="AL57" s="195">
        <v>0</v>
      </c>
      <c r="AM57" s="195">
        <v>0</v>
      </c>
      <c r="AN57" s="195">
        <v>0</v>
      </c>
      <c r="AO57" s="195">
        <v>0</v>
      </c>
      <c r="AP57" s="195">
        <v>0</v>
      </c>
      <c r="AQ57" s="195">
        <v>0</v>
      </c>
      <c r="AR57" s="195">
        <v>0</v>
      </c>
      <c r="AS57" s="195">
        <v>0</v>
      </c>
      <c r="AT57" s="195">
        <v>0</v>
      </c>
      <c r="AU57" s="195">
        <v>0</v>
      </c>
      <c r="AV57" s="195">
        <v>0</v>
      </c>
      <c r="AW57" s="195">
        <v>0</v>
      </c>
      <c r="AX57" s="195">
        <v>0</v>
      </c>
      <c r="AY57" s="195">
        <v>0</v>
      </c>
      <c r="AZ57" s="195">
        <v>0</v>
      </c>
      <c r="BA57" s="195">
        <v>0</v>
      </c>
      <c r="BB57" s="195">
        <v>0</v>
      </c>
      <c r="BC57" s="195">
        <v>0</v>
      </c>
      <c r="BD57" s="195">
        <v>0</v>
      </c>
      <c r="BE57" s="195">
        <v>0</v>
      </c>
      <c r="BF57" s="195">
        <v>0</v>
      </c>
      <c r="BG57" s="195">
        <v>0</v>
      </c>
      <c r="BH57" s="195">
        <v>0</v>
      </c>
    </row>
    <row r="58" spans="1:60" x14ac:dyDescent="0.3">
      <c r="B58" s="195">
        <v>19</v>
      </c>
      <c r="C58" s="195">
        <f t="shared" si="52"/>
        <v>0</v>
      </c>
      <c r="D58" s="195">
        <f t="shared" si="53"/>
        <v>0</v>
      </c>
      <c r="E58" s="195">
        <f t="shared" si="41"/>
        <v>0</v>
      </c>
      <c r="F58" s="195">
        <f t="shared" si="54"/>
        <v>0</v>
      </c>
      <c r="G58" s="195">
        <f t="shared" si="42"/>
        <v>0</v>
      </c>
      <c r="H58" s="195">
        <f t="shared" si="55"/>
        <v>0</v>
      </c>
      <c r="I58" s="195">
        <f t="shared" si="43"/>
        <v>0</v>
      </c>
      <c r="J58" s="195">
        <f t="shared" si="56"/>
        <v>0</v>
      </c>
      <c r="K58" s="195">
        <f t="shared" si="44"/>
        <v>0</v>
      </c>
      <c r="L58" s="195">
        <f t="shared" si="57"/>
        <v>0</v>
      </c>
      <c r="M58" s="195">
        <f t="shared" si="45"/>
        <v>0</v>
      </c>
      <c r="N58" s="195">
        <f t="shared" si="58"/>
        <v>0</v>
      </c>
      <c r="O58" s="195">
        <f t="shared" si="46"/>
        <v>0</v>
      </c>
      <c r="P58" s="195">
        <f t="shared" si="59"/>
        <v>0</v>
      </c>
      <c r="Q58" s="195">
        <f t="shared" si="47"/>
        <v>0</v>
      </c>
      <c r="R58" s="195">
        <f t="shared" si="60"/>
        <v>0</v>
      </c>
      <c r="S58" s="195">
        <f t="shared" si="48"/>
        <v>0</v>
      </c>
      <c r="T58" s="195">
        <f t="shared" si="61"/>
        <v>0</v>
      </c>
      <c r="U58" s="195">
        <f t="shared" si="49"/>
        <v>0</v>
      </c>
      <c r="V58" s="195">
        <f t="shared" si="62"/>
        <v>0</v>
      </c>
      <c r="W58" s="195">
        <f t="shared" si="50"/>
        <v>0</v>
      </c>
      <c r="X58" s="195">
        <f t="shared" si="63"/>
        <v>0</v>
      </c>
      <c r="Y58" s="195">
        <f t="shared" si="51"/>
        <v>0</v>
      </c>
      <c r="Z58" s="195">
        <f t="shared" si="64"/>
        <v>0</v>
      </c>
      <c r="AA58" s="195">
        <f t="shared" si="65"/>
        <v>0</v>
      </c>
      <c r="AB58" s="195">
        <f t="shared" si="65"/>
        <v>0</v>
      </c>
      <c r="AH58" s="195">
        <v>16</v>
      </c>
      <c r="AI58" s="195">
        <v>0</v>
      </c>
      <c r="AJ58" s="195">
        <v>0</v>
      </c>
      <c r="AK58" s="195">
        <v>0</v>
      </c>
      <c r="AL58" s="195">
        <v>0</v>
      </c>
      <c r="AM58" s="195">
        <v>0</v>
      </c>
      <c r="AN58" s="195">
        <v>0</v>
      </c>
      <c r="AO58" s="195">
        <v>0</v>
      </c>
      <c r="AP58" s="195">
        <v>0</v>
      </c>
      <c r="AQ58" s="195">
        <v>0</v>
      </c>
      <c r="AR58" s="195">
        <v>0</v>
      </c>
      <c r="AS58" s="195">
        <v>0</v>
      </c>
      <c r="AT58" s="195">
        <v>0</v>
      </c>
      <c r="AU58" s="195">
        <v>0</v>
      </c>
      <c r="AV58" s="195">
        <v>0</v>
      </c>
      <c r="AW58" s="195">
        <v>0</v>
      </c>
      <c r="AX58" s="195">
        <v>0</v>
      </c>
      <c r="AY58" s="195">
        <v>0</v>
      </c>
      <c r="AZ58" s="195">
        <v>0</v>
      </c>
      <c r="BA58" s="195">
        <v>0</v>
      </c>
      <c r="BB58" s="195">
        <v>0</v>
      </c>
      <c r="BC58" s="195">
        <v>0</v>
      </c>
      <c r="BD58" s="195">
        <v>0</v>
      </c>
      <c r="BE58" s="195">
        <v>0</v>
      </c>
      <c r="BF58" s="195">
        <v>0</v>
      </c>
      <c r="BG58" s="195">
        <v>0</v>
      </c>
      <c r="BH58" s="195">
        <v>0</v>
      </c>
    </row>
    <row r="59" spans="1:60" x14ac:dyDescent="0.3">
      <c r="B59" s="195">
        <v>18</v>
      </c>
      <c r="C59" s="195">
        <f t="shared" si="52"/>
        <v>0</v>
      </c>
      <c r="D59" s="195">
        <f t="shared" si="53"/>
        <v>0</v>
      </c>
      <c r="E59" s="195">
        <f t="shared" si="41"/>
        <v>0</v>
      </c>
      <c r="F59" s="195">
        <f t="shared" si="54"/>
        <v>0</v>
      </c>
      <c r="G59" s="195">
        <f t="shared" si="42"/>
        <v>0</v>
      </c>
      <c r="H59" s="195">
        <f t="shared" si="55"/>
        <v>0</v>
      </c>
      <c r="I59" s="195">
        <f t="shared" si="43"/>
        <v>0</v>
      </c>
      <c r="J59" s="195">
        <f t="shared" si="56"/>
        <v>0</v>
      </c>
      <c r="K59" s="195">
        <f t="shared" si="44"/>
        <v>0</v>
      </c>
      <c r="L59" s="195">
        <f t="shared" si="57"/>
        <v>0</v>
      </c>
      <c r="M59" s="195">
        <f t="shared" si="45"/>
        <v>0</v>
      </c>
      <c r="N59" s="195">
        <f t="shared" si="58"/>
        <v>0</v>
      </c>
      <c r="O59" s="195">
        <f t="shared" si="46"/>
        <v>0</v>
      </c>
      <c r="P59" s="195">
        <f t="shared" si="59"/>
        <v>0</v>
      </c>
      <c r="Q59" s="195">
        <f t="shared" si="47"/>
        <v>0</v>
      </c>
      <c r="R59" s="195">
        <f t="shared" si="60"/>
        <v>0</v>
      </c>
      <c r="S59" s="195">
        <f t="shared" si="48"/>
        <v>0</v>
      </c>
      <c r="T59" s="195">
        <f t="shared" si="61"/>
        <v>0</v>
      </c>
      <c r="U59" s="195">
        <f t="shared" si="49"/>
        <v>0</v>
      </c>
      <c r="V59" s="195">
        <f t="shared" si="62"/>
        <v>0</v>
      </c>
      <c r="W59" s="195">
        <f t="shared" si="50"/>
        <v>0</v>
      </c>
      <c r="X59" s="195">
        <f t="shared" si="63"/>
        <v>0</v>
      </c>
      <c r="Y59" s="195">
        <f t="shared" si="51"/>
        <v>0</v>
      </c>
      <c r="Z59" s="195">
        <f t="shared" si="64"/>
        <v>0</v>
      </c>
      <c r="AA59" s="195">
        <f t="shared" si="65"/>
        <v>0</v>
      </c>
      <c r="AB59" s="195">
        <f t="shared" si="65"/>
        <v>0</v>
      </c>
      <c r="AH59" s="195">
        <v>15</v>
      </c>
      <c r="AI59" s="195">
        <v>0</v>
      </c>
      <c r="AJ59" s="195">
        <v>0</v>
      </c>
      <c r="AK59" s="195">
        <v>0</v>
      </c>
      <c r="AL59" s="195">
        <v>0</v>
      </c>
      <c r="AM59" s="195">
        <v>0</v>
      </c>
      <c r="AN59" s="195">
        <v>0</v>
      </c>
      <c r="AO59" s="195">
        <v>0</v>
      </c>
      <c r="AP59" s="195">
        <v>0</v>
      </c>
      <c r="AQ59" s="195">
        <v>0</v>
      </c>
      <c r="AR59" s="195">
        <v>0</v>
      </c>
      <c r="AS59" s="195">
        <v>0</v>
      </c>
      <c r="AT59" s="195">
        <v>0</v>
      </c>
      <c r="AU59" s="195">
        <v>0</v>
      </c>
      <c r="AV59" s="195">
        <v>0</v>
      </c>
      <c r="AW59" s="195">
        <v>0</v>
      </c>
      <c r="AX59" s="195">
        <v>0</v>
      </c>
      <c r="AY59" s="195">
        <v>0</v>
      </c>
      <c r="AZ59" s="195">
        <v>0</v>
      </c>
      <c r="BA59" s="195">
        <v>0</v>
      </c>
      <c r="BB59" s="195">
        <v>0</v>
      </c>
      <c r="BC59" s="195">
        <v>0</v>
      </c>
      <c r="BD59" s="195">
        <v>0</v>
      </c>
      <c r="BE59" s="195">
        <v>0</v>
      </c>
      <c r="BF59" s="195">
        <v>0</v>
      </c>
      <c r="BG59" s="195">
        <v>0</v>
      </c>
      <c r="BH59" s="195">
        <v>0</v>
      </c>
    </row>
    <row r="60" spans="1:60" x14ac:dyDescent="0.3">
      <c r="B60" s="195">
        <v>17</v>
      </c>
      <c r="C60" s="195">
        <f t="shared" si="52"/>
        <v>0</v>
      </c>
      <c r="D60" s="195">
        <f t="shared" si="53"/>
        <v>0</v>
      </c>
      <c r="E60" s="195">
        <f t="shared" si="41"/>
        <v>0</v>
      </c>
      <c r="F60" s="195">
        <f t="shared" si="54"/>
        <v>0</v>
      </c>
      <c r="G60" s="195">
        <f t="shared" si="42"/>
        <v>0</v>
      </c>
      <c r="H60" s="195">
        <f t="shared" si="55"/>
        <v>0</v>
      </c>
      <c r="I60" s="195">
        <f t="shared" si="43"/>
        <v>0</v>
      </c>
      <c r="J60" s="195">
        <f t="shared" si="56"/>
        <v>0</v>
      </c>
      <c r="K60" s="195">
        <f t="shared" si="44"/>
        <v>0</v>
      </c>
      <c r="L60" s="195">
        <f t="shared" si="57"/>
        <v>0</v>
      </c>
      <c r="M60" s="195">
        <f t="shared" si="45"/>
        <v>0</v>
      </c>
      <c r="N60" s="195">
        <f t="shared" si="58"/>
        <v>0</v>
      </c>
      <c r="O60" s="195">
        <f t="shared" si="46"/>
        <v>0</v>
      </c>
      <c r="P60" s="195">
        <f t="shared" si="59"/>
        <v>0</v>
      </c>
      <c r="Q60" s="195">
        <f t="shared" si="47"/>
        <v>0</v>
      </c>
      <c r="R60" s="195">
        <f t="shared" si="60"/>
        <v>0</v>
      </c>
      <c r="S60" s="195">
        <f t="shared" si="48"/>
        <v>0</v>
      </c>
      <c r="T60" s="195">
        <f t="shared" si="61"/>
        <v>0</v>
      </c>
      <c r="U60" s="195">
        <f t="shared" si="49"/>
        <v>0</v>
      </c>
      <c r="V60" s="195">
        <f t="shared" si="62"/>
        <v>0</v>
      </c>
      <c r="W60" s="195">
        <f t="shared" si="50"/>
        <v>0</v>
      </c>
      <c r="X60" s="195">
        <f t="shared" si="63"/>
        <v>0</v>
      </c>
      <c r="Y60" s="195">
        <f t="shared" si="51"/>
        <v>0</v>
      </c>
      <c r="Z60" s="195">
        <f t="shared" si="64"/>
        <v>0</v>
      </c>
      <c r="AA60" s="195">
        <f t="shared" si="65"/>
        <v>0</v>
      </c>
      <c r="AB60" s="195">
        <f t="shared" si="65"/>
        <v>0</v>
      </c>
      <c r="AH60" s="195">
        <v>14</v>
      </c>
      <c r="AI60" s="195">
        <v>0</v>
      </c>
      <c r="AJ60" s="195">
        <v>0</v>
      </c>
      <c r="AK60" s="195">
        <v>0</v>
      </c>
      <c r="AL60" s="195">
        <v>0</v>
      </c>
      <c r="AM60" s="195">
        <v>0</v>
      </c>
      <c r="AN60" s="195">
        <v>0</v>
      </c>
      <c r="AO60" s="195">
        <v>0</v>
      </c>
      <c r="AP60" s="195">
        <v>0</v>
      </c>
      <c r="AQ60" s="195">
        <v>0</v>
      </c>
      <c r="AR60" s="195">
        <v>0</v>
      </c>
      <c r="AS60" s="195">
        <v>0</v>
      </c>
      <c r="AT60" s="195">
        <v>0</v>
      </c>
      <c r="AU60" s="195">
        <v>0</v>
      </c>
      <c r="AV60" s="195">
        <v>0</v>
      </c>
      <c r="AW60" s="195">
        <v>0</v>
      </c>
      <c r="AX60" s="195">
        <v>0</v>
      </c>
      <c r="AY60" s="195">
        <v>0</v>
      </c>
      <c r="AZ60" s="195">
        <v>0</v>
      </c>
      <c r="BA60" s="195">
        <v>0</v>
      </c>
      <c r="BB60" s="195">
        <v>0</v>
      </c>
      <c r="BC60" s="195">
        <v>0</v>
      </c>
      <c r="BD60" s="195">
        <v>0</v>
      </c>
      <c r="BE60" s="195">
        <v>0</v>
      </c>
      <c r="BF60" s="195">
        <v>0</v>
      </c>
      <c r="BG60" s="195">
        <v>0</v>
      </c>
      <c r="BH60" s="195">
        <v>0</v>
      </c>
    </row>
    <row r="61" spans="1:60" x14ac:dyDescent="0.3">
      <c r="B61" s="195">
        <v>16</v>
      </c>
      <c r="C61" s="195">
        <f t="shared" si="52"/>
        <v>0</v>
      </c>
      <c r="D61" s="195">
        <f t="shared" si="53"/>
        <v>0</v>
      </c>
      <c r="E61" s="195">
        <f t="shared" si="41"/>
        <v>0</v>
      </c>
      <c r="F61" s="195">
        <f t="shared" si="54"/>
        <v>0</v>
      </c>
      <c r="G61" s="195">
        <f t="shared" si="42"/>
        <v>0</v>
      </c>
      <c r="H61" s="195">
        <f t="shared" si="55"/>
        <v>0</v>
      </c>
      <c r="I61" s="195">
        <f t="shared" si="43"/>
        <v>0</v>
      </c>
      <c r="J61" s="195">
        <f t="shared" si="56"/>
        <v>0</v>
      </c>
      <c r="K61" s="195">
        <f t="shared" si="44"/>
        <v>0</v>
      </c>
      <c r="L61" s="195">
        <f t="shared" si="57"/>
        <v>0</v>
      </c>
      <c r="M61" s="195">
        <f t="shared" si="45"/>
        <v>0</v>
      </c>
      <c r="N61" s="195">
        <f t="shared" si="58"/>
        <v>0</v>
      </c>
      <c r="O61" s="195">
        <f t="shared" si="46"/>
        <v>0</v>
      </c>
      <c r="P61" s="195">
        <f t="shared" si="59"/>
        <v>0</v>
      </c>
      <c r="Q61" s="195">
        <f t="shared" si="47"/>
        <v>0</v>
      </c>
      <c r="R61" s="195">
        <f t="shared" si="60"/>
        <v>0</v>
      </c>
      <c r="S61" s="195">
        <f t="shared" si="48"/>
        <v>0</v>
      </c>
      <c r="T61" s="195">
        <f t="shared" si="61"/>
        <v>0</v>
      </c>
      <c r="U61" s="195">
        <f t="shared" si="49"/>
        <v>0</v>
      </c>
      <c r="V61" s="195">
        <f t="shared" si="62"/>
        <v>0</v>
      </c>
      <c r="W61" s="195">
        <f t="shared" si="50"/>
        <v>0</v>
      </c>
      <c r="X61" s="195">
        <f t="shared" si="63"/>
        <v>0</v>
      </c>
      <c r="Y61" s="195">
        <f t="shared" si="51"/>
        <v>0</v>
      </c>
      <c r="Z61" s="195">
        <f t="shared" si="64"/>
        <v>0</v>
      </c>
      <c r="AA61" s="195">
        <f t="shared" si="65"/>
        <v>0</v>
      </c>
      <c r="AB61" s="195">
        <f t="shared" si="65"/>
        <v>0</v>
      </c>
      <c r="AH61" s="195">
        <v>13</v>
      </c>
      <c r="AI61" s="195">
        <v>0</v>
      </c>
      <c r="AJ61" s="195">
        <v>0</v>
      </c>
      <c r="AK61" s="195">
        <v>0</v>
      </c>
      <c r="AL61" s="195">
        <v>0</v>
      </c>
      <c r="AM61" s="195">
        <v>0</v>
      </c>
      <c r="AN61" s="195">
        <v>0</v>
      </c>
      <c r="AO61" s="195">
        <v>0</v>
      </c>
      <c r="AP61" s="195">
        <v>0</v>
      </c>
      <c r="AQ61" s="195">
        <v>0</v>
      </c>
      <c r="AR61" s="195">
        <v>0</v>
      </c>
      <c r="AS61" s="195">
        <v>0</v>
      </c>
      <c r="AT61" s="195">
        <v>0</v>
      </c>
      <c r="AU61" s="195">
        <v>0</v>
      </c>
      <c r="AV61" s="195">
        <v>0</v>
      </c>
      <c r="AW61" s="195">
        <v>0</v>
      </c>
      <c r="AX61" s="195">
        <v>0</v>
      </c>
      <c r="AY61" s="195">
        <v>0</v>
      </c>
      <c r="AZ61" s="195">
        <v>0</v>
      </c>
      <c r="BA61" s="195">
        <v>0</v>
      </c>
      <c r="BB61" s="195">
        <v>0</v>
      </c>
      <c r="BC61" s="195">
        <v>0</v>
      </c>
      <c r="BD61" s="195">
        <v>0</v>
      </c>
      <c r="BE61" s="195">
        <v>0</v>
      </c>
      <c r="BF61" s="195">
        <v>0</v>
      </c>
      <c r="BG61" s="195">
        <v>0</v>
      </c>
      <c r="BH61" s="195">
        <v>0</v>
      </c>
    </row>
    <row r="62" spans="1:60" x14ac:dyDescent="0.3">
      <c r="B62" s="195">
        <v>15</v>
      </c>
      <c r="C62" s="195">
        <f t="shared" si="52"/>
        <v>0</v>
      </c>
      <c r="D62" s="195">
        <f t="shared" si="53"/>
        <v>0</v>
      </c>
      <c r="E62" s="195">
        <f t="shared" si="41"/>
        <v>0</v>
      </c>
      <c r="F62" s="195">
        <f t="shared" si="54"/>
        <v>0</v>
      </c>
      <c r="G62" s="195">
        <f t="shared" si="42"/>
        <v>0</v>
      </c>
      <c r="H62" s="195">
        <f t="shared" si="55"/>
        <v>0</v>
      </c>
      <c r="I62" s="195">
        <f t="shared" si="43"/>
        <v>0</v>
      </c>
      <c r="J62" s="195">
        <f t="shared" si="56"/>
        <v>0</v>
      </c>
      <c r="K62" s="195">
        <f t="shared" si="44"/>
        <v>0</v>
      </c>
      <c r="L62" s="195">
        <f t="shared" si="57"/>
        <v>0</v>
      </c>
      <c r="M62" s="195">
        <f t="shared" si="45"/>
        <v>0</v>
      </c>
      <c r="N62" s="195">
        <f t="shared" si="58"/>
        <v>0</v>
      </c>
      <c r="O62" s="195">
        <f t="shared" si="46"/>
        <v>0</v>
      </c>
      <c r="P62" s="195">
        <f t="shared" si="59"/>
        <v>0</v>
      </c>
      <c r="Q62" s="195">
        <f t="shared" si="47"/>
        <v>0</v>
      </c>
      <c r="R62" s="195">
        <f t="shared" si="60"/>
        <v>0</v>
      </c>
      <c r="S62" s="195">
        <f t="shared" si="48"/>
        <v>0</v>
      </c>
      <c r="T62" s="195">
        <f t="shared" si="61"/>
        <v>0</v>
      </c>
      <c r="U62" s="195">
        <f t="shared" si="49"/>
        <v>0</v>
      </c>
      <c r="V62" s="195">
        <f t="shared" si="62"/>
        <v>0</v>
      </c>
      <c r="W62" s="195">
        <f t="shared" si="50"/>
        <v>0</v>
      </c>
      <c r="X62" s="195">
        <f t="shared" si="63"/>
        <v>0</v>
      </c>
      <c r="Y62" s="195">
        <f t="shared" si="51"/>
        <v>0</v>
      </c>
      <c r="Z62" s="195">
        <f t="shared" si="64"/>
        <v>0</v>
      </c>
      <c r="AA62" s="195">
        <f t="shared" si="65"/>
        <v>0</v>
      </c>
      <c r="AB62" s="195">
        <f t="shared" si="65"/>
        <v>0</v>
      </c>
      <c r="AH62" s="195">
        <v>12</v>
      </c>
      <c r="AI62" s="195">
        <v>0</v>
      </c>
      <c r="AJ62" s="195">
        <v>0</v>
      </c>
      <c r="AK62" s="195">
        <v>0</v>
      </c>
      <c r="AL62" s="195">
        <v>0</v>
      </c>
      <c r="AM62" s="195">
        <v>0</v>
      </c>
      <c r="AN62" s="195">
        <v>0</v>
      </c>
      <c r="AO62" s="195">
        <v>0</v>
      </c>
      <c r="AP62" s="195">
        <v>0</v>
      </c>
      <c r="AQ62" s="195">
        <v>0</v>
      </c>
      <c r="AR62" s="195">
        <v>0</v>
      </c>
      <c r="AS62" s="195">
        <v>0</v>
      </c>
      <c r="AT62" s="195">
        <v>0</v>
      </c>
      <c r="AU62" s="195">
        <v>0</v>
      </c>
      <c r="AV62" s="195">
        <v>0</v>
      </c>
      <c r="AW62" s="195">
        <v>0</v>
      </c>
      <c r="AX62" s="195">
        <v>0</v>
      </c>
      <c r="AY62" s="195">
        <v>0</v>
      </c>
      <c r="AZ62" s="195">
        <v>0</v>
      </c>
      <c r="BA62" s="195">
        <v>0</v>
      </c>
      <c r="BB62" s="195">
        <v>0</v>
      </c>
      <c r="BC62" s="195">
        <v>0</v>
      </c>
      <c r="BD62" s="195">
        <v>0</v>
      </c>
      <c r="BE62" s="195">
        <v>0</v>
      </c>
      <c r="BF62" s="195">
        <v>0</v>
      </c>
      <c r="BG62" s="195">
        <v>0</v>
      </c>
      <c r="BH62" s="195">
        <v>0</v>
      </c>
    </row>
    <row r="63" spans="1:60" x14ac:dyDescent="0.3">
      <c r="B63" s="195">
        <v>14</v>
      </c>
      <c r="C63" s="195">
        <f t="shared" si="52"/>
        <v>0</v>
      </c>
      <c r="D63" s="195">
        <f t="shared" si="53"/>
        <v>0</v>
      </c>
      <c r="E63" s="195">
        <f t="shared" si="41"/>
        <v>0</v>
      </c>
      <c r="F63" s="195">
        <f t="shared" si="54"/>
        <v>0</v>
      </c>
      <c r="G63" s="195">
        <f t="shared" si="42"/>
        <v>0</v>
      </c>
      <c r="H63" s="195">
        <f t="shared" si="55"/>
        <v>0</v>
      </c>
      <c r="I63" s="195">
        <f t="shared" si="43"/>
        <v>0</v>
      </c>
      <c r="J63" s="195">
        <f t="shared" si="56"/>
        <v>0</v>
      </c>
      <c r="K63" s="195">
        <f t="shared" si="44"/>
        <v>0</v>
      </c>
      <c r="L63" s="195">
        <f t="shared" si="57"/>
        <v>0</v>
      </c>
      <c r="M63" s="195">
        <f t="shared" si="45"/>
        <v>0</v>
      </c>
      <c r="N63" s="195">
        <f t="shared" si="58"/>
        <v>0</v>
      </c>
      <c r="O63" s="195">
        <f t="shared" si="46"/>
        <v>0</v>
      </c>
      <c r="P63" s="195">
        <f t="shared" si="59"/>
        <v>0</v>
      </c>
      <c r="Q63" s="195">
        <f t="shared" si="47"/>
        <v>0</v>
      </c>
      <c r="R63" s="195">
        <f t="shared" si="60"/>
        <v>0</v>
      </c>
      <c r="S63" s="195">
        <f t="shared" si="48"/>
        <v>0</v>
      </c>
      <c r="T63" s="195">
        <f t="shared" si="61"/>
        <v>0</v>
      </c>
      <c r="U63" s="195">
        <f t="shared" si="49"/>
        <v>0</v>
      </c>
      <c r="V63" s="195">
        <f t="shared" si="62"/>
        <v>0</v>
      </c>
      <c r="W63" s="195">
        <f t="shared" si="50"/>
        <v>0</v>
      </c>
      <c r="X63" s="195">
        <f t="shared" si="63"/>
        <v>0</v>
      </c>
      <c r="Y63" s="195">
        <f t="shared" si="51"/>
        <v>0</v>
      </c>
      <c r="Z63" s="195">
        <f t="shared" si="64"/>
        <v>0</v>
      </c>
      <c r="AA63" s="195">
        <f t="shared" si="65"/>
        <v>0</v>
      </c>
      <c r="AB63" s="195">
        <f t="shared" si="65"/>
        <v>0</v>
      </c>
      <c r="AH63" s="195">
        <v>11</v>
      </c>
      <c r="AI63" s="195">
        <v>0</v>
      </c>
      <c r="AJ63" s="195">
        <v>0</v>
      </c>
      <c r="AK63" s="195">
        <v>0</v>
      </c>
      <c r="AL63" s="195">
        <v>0</v>
      </c>
      <c r="AM63" s="195">
        <v>0</v>
      </c>
      <c r="AN63" s="195">
        <v>0</v>
      </c>
      <c r="AO63" s="195">
        <v>0</v>
      </c>
      <c r="AP63" s="195">
        <v>0</v>
      </c>
      <c r="AQ63" s="195">
        <v>0</v>
      </c>
      <c r="AR63" s="195">
        <v>0</v>
      </c>
      <c r="AS63" s="195">
        <v>0</v>
      </c>
      <c r="AT63" s="195">
        <v>0</v>
      </c>
      <c r="AU63" s="195">
        <v>0</v>
      </c>
      <c r="AV63" s="195">
        <v>0</v>
      </c>
      <c r="AW63" s="195">
        <v>0</v>
      </c>
      <c r="AX63" s="195">
        <v>0</v>
      </c>
      <c r="AY63" s="195">
        <v>0</v>
      </c>
      <c r="AZ63" s="195">
        <v>0</v>
      </c>
      <c r="BA63" s="195">
        <v>0</v>
      </c>
      <c r="BB63" s="195">
        <v>0</v>
      </c>
      <c r="BC63" s="195">
        <v>0</v>
      </c>
      <c r="BD63" s="195">
        <v>0</v>
      </c>
      <c r="BE63" s="195">
        <v>0</v>
      </c>
      <c r="BF63" s="195">
        <v>0</v>
      </c>
      <c r="BG63" s="195">
        <v>0</v>
      </c>
      <c r="BH63" s="195">
        <v>0</v>
      </c>
    </row>
    <row r="64" spans="1:60" x14ac:dyDescent="0.3">
      <c r="B64" s="195">
        <v>13</v>
      </c>
      <c r="C64" s="195">
        <f t="shared" si="52"/>
        <v>0</v>
      </c>
      <c r="D64" s="195">
        <f t="shared" si="53"/>
        <v>0</v>
      </c>
      <c r="E64" s="195">
        <f t="shared" si="41"/>
        <v>0</v>
      </c>
      <c r="F64" s="195">
        <f t="shared" si="54"/>
        <v>0</v>
      </c>
      <c r="G64" s="195">
        <f t="shared" si="42"/>
        <v>0</v>
      </c>
      <c r="H64" s="195">
        <f t="shared" si="55"/>
        <v>0</v>
      </c>
      <c r="I64" s="195">
        <f t="shared" si="43"/>
        <v>0</v>
      </c>
      <c r="J64" s="195">
        <f t="shared" si="56"/>
        <v>0</v>
      </c>
      <c r="K64" s="195">
        <f t="shared" si="44"/>
        <v>0</v>
      </c>
      <c r="L64" s="195">
        <f t="shared" si="57"/>
        <v>0</v>
      </c>
      <c r="M64" s="195">
        <f t="shared" si="45"/>
        <v>0</v>
      </c>
      <c r="N64" s="195">
        <f t="shared" si="58"/>
        <v>0</v>
      </c>
      <c r="O64" s="195">
        <f t="shared" si="46"/>
        <v>0</v>
      </c>
      <c r="P64" s="195">
        <f t="shared" si="59"/>
        <v>0</v>
      </c>
      <c r="Q64" s="195">
        <f t="shared" si="47"/>
        <v>0</v>
      </c>
      <c r="R64" s="195">
        <f t="shared" si="60"/>
        <v>0</v>
      </c>
      <c r="S64" s="195">
        <f t="shared" si="48"/>
        <v>0</v>
      </c>
      <c r="T64" s="195">
        <f t="shared" si="61"/>
        <v>0</v>
      </c>
      <c r="U64" s="195">
        <f t="shared" si="49"/>
        <v>0</v>
      </c>
      <c r="V64" s="195">
        <f t="shared" si="62"/>
        <v>0</v>
      </c>
      <c r="W64" s="195">
        <f t="shared" si="50"/>
        <v>0</v>
      </c>
      <c r="X64" s="195">
        <f t="shared" si="63"/>
        <v>0</v>
      </c>
      <c r="Y64" s="195">
        <f t="shared" si="51"/>
        <v>0</v>
      </c>
      <c r="Z64" s="195">
        <f t="shared" si="64"/>
        <v>0</v>
      </c>
      <c r="AA64" s="195">
        <f t="shared" si="65"/>
        <v>0</v>
      </c>
      <c r="AB64" s="195">
        <f t="shared" si="65"/>
        <v>0</v>
      </c>
      <c r="AH64" s="195">
        <v>10</v>
      </c>
      <c r="AI64" s="195">
        <v>0</v>
      </c>
      <c r="AJ64" s="195">
        <v>0</v>
      </c>
      <c r="AK64" s="195">
        <v>0</v>
      </c>
      <c r="AL64" s="195">
        <v>0</v>
      </c>
      <c r="AM64" s="195">
        <v>0</v>
      </c>
      <c r="AN64" s="195">
        <v>0</v>
      </c>
      <c r="AO64" s="195">
        <v>0</v>
      </c>
      <c r="AP64" s="195">
        <v>0</v>
      </c>
      <c r="AQ64" s="195">
        <v>0</v>
      </c>
      <c r="AR64" s="195">
        <v>0</v>
      </c>
      <c r="AS64" s="195">
        <v>2.3715415019762842</v>
      </c>
      <c r="AT64" s="195">
        <v>6</v>
      </c>
      <c r="AU64" s="195">
        <v>0</v>
      </c>
      <c r="AV64" s="195">
        <v>0</v>
      </c>
      <c r="AW64" s="195">
        <v>0</v>
      </c>
      <c r="AX64" s="195">
        <v>0</v>
      </c>
      <c r="AY64" s="195">
        <v>0</v>
      </c>
      <c r="AZ64" s="195">
        <v>0</v>
      </c>
      <c r="BA64" s="195">
        <v>0.39525691699604742</v>
      </c>
      <c r="BB64" s="195">
        <v>1</v>
      </c>
      <c r="BC64" s="195">
        <v>0</v>
      </c>
      <c r="BD64" s="195">
        <v>0</v>
      </c>
      <c r="BE64" s="195">
        <v>0</v>
      </c>
      <c r="BF64" s="195">
        <v>0</v>
      </c>
      <c r="BG64" s="195">
        <v>7</v>
      </c>
      <c r="BH64" s="195">
        <v>0.31559963931469792</v>
      </c>
    </row>
    <row r="65" spans="2:60" x14ac:dyDescent="0.3">
      <c r="B65" s="195">
        <v>12</v>
      </c>
      <c r="C65" s="195">
        <f t="shared" si="52"/>
        <v>0</v>
      </c>
      <c r="D65" s="195">
        <f t="shared" si="53"/>
        <v>0</v>
      </c>
      <c r="E65" s="195">
        <f t="shared" si="41"/>
        <v>0</v>
      </c>
      <c r="F65" s="195">
        <f t="shared" si="54"/>
        <v>0</v>
      </c>
      <c r="G65" s="195">
        <f t="shared" si="42"/>
        <v>0</v>
      </c>
      <c r="H65" s="195">
        <f t="shared" si="55"/>
        <v>0</v>
      </c>
      <c r="I65" s="195">
        <f t="shared" si="43"/>
        <v>0</v>
      </c>
      <c r="J65" s="195">
        <f t="shared" si="56"/>
        <v>0</v>
      </c>
      <c r="K65" s="195">
        <f t="shared" si="44"/>
        <v>0</v>
      </c>
      <c r="L65" s="195">
        <f t="shared" si="57"/>
        <v>0</v>
      </c>
      <c r="M65" s="195">
        <f t="shared" si="45"/>
        <v>0</v>
      </c>
      <c r="N65" s="195">
        <f t="shared" si="58"/>
        <v>0</v>
      </c>
      <c r="O65" s="195">
        <f t="shared" si="46"/>
        <v>0</v>
      </c>
      <c r="P65" s="195">
        <f t="shared" si="59"/>
        <v>0</v>
      </c>
      <c r="Q65" s="195">
        <f t="shared" si="47"/>
        <v>0</v>
      </c>
      <c r="R65" s="195">
        <f t="shared" si="60"/>
        <v>0</v>
      </c>
      <c r="S65" s="195">
        <f t="shared" si="48"/>
        <v>0</v>
      </c>
      <c r="T65" s="195">
        <f t="shared" si="61"/>
        <v>0</v>
      </c>
      <c r="U65" s="195">
        <f t="shared" si="49"/>
        <v>0</v>
      </c>
      <c r="V65" s="195">
        <f t="shared" si="62"/>
        <v>0</v>
      </c>
      <c r="W65" s="195">
        <f t="shared" si="50"/>
        <v>0</v>
      </c>
      <c r="X65" s="195">
        <f t="shared" si="63"/>
        <v>0</v>
      </c>
      <c r="Y65" s="195">
        <f t="shared" si="51"/>
        <v>0</v>
      </c>
      <c r="Z65" s="195">
        <f t="shared" si="64"/>
        <v>0</v>
      </c>
      <c r="AA65" s="195">
        <f t="shared" si="65"/>
        <v>0</v>
      </c>
      <c r="AB65" s="195">
        <f t="shared" si="65"/>
        <v>0</v>
      </c>
      <c r="AH65" s="195">
        <v>9</v>
      </c>
      <c r="AI65" s="195">
        <v>0</v>
      </c>
      <c r="AJ65" s="195">
        <v>0</v>
      </c>
      <c r="AK65" s="195">
        <v>0</v>
      </c>
      <c r="AL65" s="195">
        <v>0</v>
      </c>
      <c r="AM65" s="195">
        <v>0</v>
      </c>
      <c r="AN65" s="195">
        <v>0</v>
      </c>
      <c r="AO65" s="195">
        <v>0</v>
      </c>
      <c r="AP65" s="195">
        <v>0</v>
      </c>
      <c r="AQ65" s="195">
        <v>0</v>
      </c>
      <c r="AR65" s="195">
        <v>0</v>
      </c>
      <c r="AS65" s="195">
        <v>4.7430830039525684</v>
      </c>
      <c r="AT65" s="195">
        <v>12</v>
      </c>
      <c r="AU65" s="195">
        <v>0</v>
      </c>
      <c r="AV65" s="195">
        <v>0</v>
      </c>
      <c r="AW65" s="195">
        <v>0</v>
      </c>
      <c r="AX65" s="195">
        <v>0</v>
      </c>
      <c r="AY65" s="195">
        <v>0</v>
      </c>
      <c r="AZ65" s="195">
        <v>0</v>
      </c>
      <c r="BA65" s="195">
        <v>1.1857707509881421</v>
      </c>
      <c r="BB65" s="195">
        <v>3</v>
      </c>
      <c r="BC65" s="195">
        <v>0</v>
      </c>
      <c r="BD65" s="195">
        <v>0</v>
      </c>
      <c r="BE65" s="195">
        <v>0</v>
      </c>
      <c r="BF65" s="195">
        <v>0</v>
      </c>
      <c r="BG65" s="195">
        <v>15</v>
      </c>
      <c r="BH65" s="195">
        <v>0.67628494138863837</v>
      </c>
    </row>
    <row r="66" spans="2:60" x14ac:dyDescent="0.3">
      <c r="B66" s="195">
        <v>11</v>
      </c>
      <c r="C66" s="195">
        <f t="shared" si="52"/>
        <v>0</v>
      </c>
      <c r="D66" s="195">
        <f t="shared" si="53"/>
        <v>0</v>
      </c>
      <c r="E66" s="195">
        <f t="shared" si="41"/>
        <v>0</v>
      </c>
      <c r="F66" s="195">
        <f t="shared" si="54"/>
        <v>0</v>
      </c>
      <c r="G66" s="195">
        <f t="shared" si="42"/>
        <v>0</v>
      </c>
      <c r="H66" s="195">
        <f t="shared" si="55"/>
        <v>0</v>
      </c>
      <c r="I66" s="195">
        <f t="shared" si="43"/>
        <v>0</v>
      </c>
      <c r="J66" s="195">
        <f t="shared" si="56"/>
        <v>0</v>
      </c>
      <c r="K66" s="195">
        <f t="shared" si="44"/>
        <v>0</v>
      </c>
      <c r="L66" s="195">
        <f t="shared" si="57"/>
        <v>0</v>
      </c>
      <c r="M66" s="195">
        <f t="shared" si="45"/>
        <v>0</v>
      </c>
      <c r="N66" s="195">
        <f t="shared" si="58"/>
        <v>0</v>
      </c>
      <c r="O66" s="195">
        <f t="shared" si="46"/>
        <v>0</v>
      </c>
      <c r="P66" s="195">
        <f t="shared" si="59"/>
        <v>0</v>
      </c>
      <c r="Q66" s="195">
        <f t="shared" si="47"/>
        <v>0</v>
      </c>
      <c r="R66" s="195">
        <f t="shared" si="60"/>
        <v>0</v>
      </c>
      <c r="S66" s="195">
        <f t="shared" si="48"/>
        <v>0</v>
      </c>
      <c r="T66" s="195">
        <f t="shared" si="61"/>
        <v>0</v>
      </c>
      <c r="U66" s="195">
        <f t="shared" si="49"/>
        <v>0</v>
      </c>
      <c r="V66" s="195">
        <f t="shared" si="62"/>
        <v>0</v>
      </c>
      <c r="W66" s="195">
        <f t="shared" si="50"/>
        <v>0</v>
      </c>
      <c r="X66" s="195">
        <f t="shared" si="63"/>
        <v>0</v>
      </c>
      <c r="Y66" s="195">
        <f t="shared" si="51"/>
        <v>0</v>
      </c>
      <c r="Z66" s="195">
        <f t="shared" si="64"/>
        <v>0</v>
      </c>
      <c r="AA66" s="195">
        <f t="shared" si="65"/>
        <v>0</v>
      </c>
      <c r="AB66" s="195">
        <f t="shared" si="65"/>
        <v>0</v>
      </c>
      <c r="AH66" s="195">
        <v>8</v>
      </c>
      <c r="AI66" s="195">
        <v>0</v>
      </c>
      <c r="AJ66" s="195">
        <v>0</v>
      </c>
      <c r="AK66" s="195">
        <v>0</v>
      </c>
      <c r="AL66" s="195">
        <v>0</v>
      </c>
      <c r="AM66" s="195">
        <v>0</v>
      </c>
      <c r="AN66" s="195">
        <v>0</v>
      </c>
      <c r="AO66" s="195">
        <v>0</v>
      </c>
      <c r="AP66" s="195">
        <v>0</v>
      </c>
      <c r="AQ66" s="195">
        <v>0</v>
      </c>
      <c r="AR66" s="195">
        <v>0</v>
      </c>
      <c r="AS66" s="195">
        <v>7.1146245059288544</v>
      </c>
      <c r="AT66" s="195">
        <v>18</v>
      </c>
      <c r="AU66" s="195">
        <v>0</v>
      </c>
      <c r="AV66" s="195">
        <v>0</v>
      </c>
      <c r="AW66" s="195">
        <v>0</v>
      </c>
      <c r="AX66" s="195">
        <v>0</v>
      </c>
      <c r="AY66" s="195">
        <v>0</v>
      </c>
      <c r="AZ66" s="195">
        <v>0</v>
      </c>
      <c r="BA66" s="195">
        <v>1.9762845849802373</v>
      </c>
      <c r="BB66" s="195">
        <v>5</v>
      </c>
      <c r="BC66" s="195">
        <v>0</v>
      </c>
      <c r="BD66" s="195">
        <v>0</v>
      </c>
      <c r="BE66" s="195">
        <v>0</v>
      </c>
      <c r="BF66" s="195">
        <v>0</v>
      </c>
      <c r="BG66" s="195">
        <v>23</v>
      </c>
      <c r="BH66" s="195">
        <v>1.0369702434625787</v>
      </c>
    </row>
    <row r="67" spans="2:60" x14ac:dyDescent="0.3">
      <c r="B67" s="195">
        <v>10</v>
      </c>
      <c r="C67" s="195">
        <f t="shared" si="52"/>
        <v>0</v>
      </c>
      <c r="D67" s="195">
        <f t="shared" si="53"/>
        <v>0</v>
      </c>
      <c r="E67" s="195">
        <f t="shared" si="41"/>
        <v>0</v>
      </c>
      <c r="F67" s="195">
        <f t="shared" si="54"/>
        <v>0</v>
      </c>
      <c r="G67" s="195">
        <f t="shared" si="42"/>
        <v>0</v>
      </c>
      <c r="H67" s="195">
        <f t="shared" si="55"/>
        <v>0</v>
      </c>
      <c r="I67" s="195">
        <f t="shared" si="43"/>
        <v>0</v>
      </c>
      <c r="J67" s="195">
        <f t="shared" si="56"/>
        <v>0</v>
      </c>
      <c r="K67" s="195">
        <f t="shared" si="44"/>
        <v>0</v>
      </c>
      <c r="L67" s="195">
        <f t="shared" si="57"/>
        <v>0</v>
      </c>
      <c r="M67" s="195">
        <f t="shared" si="45"/>
        <v>6</v>
      </c>
      <c r="N67" s="195">
        <f t="shared" si="58"/>
        <v>2.3715415019762842</v>
      </c>
      <c r="O67" s="195">
        <f t="shared" si="46"/>
        <v>0</v>
      </c>
      <c r="P67" s="195">
        <f t="shared" si="59"/>
        <v>0</v>
      </c>
      <c r="Q67" s="195">
        <f t="shared" si="47"/>
        <v>0</v>
      </c>
      <c r="R67" s="195">
        <f t="shared" si="60"/>
        <v>0</v>
      </c>
      <c r="S67" s="195">
        <f t="shared" si="48"/>
        <v>0</v>
      </c>
      <c r="T67" s="195">
        <f t="shared" si="61"/>
        <v>0</v>
      </c>
      <c r="U67" s="195">
        <f t="shared" si="49"/>
        <v>1</v>
      </c>
      <c r="V67" s="195">
        <f t="shared" si="62"/>
        <v>0.39525691699604742</v>
      </c>
      <c r="W67" s="195">
        <f t="shared" si="50"/>
        <v>0</v>
      </c>
      <c r="X67" s="195">
        <f t="shared" si="63"/>
        <v>0</v>
      </c>
      <c r="Y67" s="195">
        <f t="shared" si="51"/>
        <v>0</v>
      </c>
      <c r="Z67" s="195">
        <f t="shared" si="64"/>
        <v>0</v>
      </c>
      <c r="AA67" s="195">
        <f t="shared" si="65"/>
        <v>7</v>
      </c>
      <c r="AB67" s="195">
        <f t="shared" si="65"/>
        <v>0.31559963931469792</v>
      </c>
      <c r="AH67" s="195">
        <v>7</v>
      </c>
      <c r="AI67" s="195">
        <v>0</v>
      </c>
      <c r="AJ67" s="195">
        <v>0</v>
      </c>
      <c r="AK67" s="195">
        <v>0</v>
      </c>
      <c r="AL67" s="195">
        <v>0</v>
      </c>
      <c r="AM67" s="195">
        <v>0</v>
      </c>
      <c r="AN67" s="195">
        <v>0</v>
      </c>
      <c r="AO67" s="195">
        <v>0</v>
      </c>
      <c r="AP67" s="195">
        <v>0</v>
      </c>
      <c r="AQ67" s="195">
        <v>0</v>
      </c>
      <c r="AR67" s="195">
        <v>0</v>
      </c>
      <c r="AS67" s="195">
        <v>9.4861660079051369</v>
      </c>
      <c r="AT67" s="195">
        <v>24</v>
      </c>
      <c r="AU67" s="195">
        <v>0</v>
      </c>
      <c r="AV67" s="195">
        <v>0</v>
      </c>
      <c r="AW67" s="195">
        <v>0</v>
      </c>
      <c r="AX67" s="195">
        <v>0</v>
      </c>
      <c r="AY67" s="195">
        <v>0</v>
      </c>
      <c r="AZ67" s="195">
        <v>0</v>
      </c>
      <c r="BA67" s="195">
        <v>2.766798418972332</v>
      </c>
      <c r="BB67" s="195">
        <v>7</v>
      </c>
      <c r="BC67" s="195">
        <v>0</v>
      </c>
      <c r="BD67" s="195">
        <v>0</v>
      </c>
      <c r="BE67" s="195">
        <v>0</v>
      </c>
      <c r="BF67" s="195">
        <v>0</v>
      </c>
      <c r="BG67" s="195">
        <v>31</v>
      </c>
      <c r="BH67" s="195">
        <v>1.3976555455365194</v>
      </c>
    </row>
    <row r="68" spans="2:60" x14ac:dyDescent="0.3">
      <c r="B68" s="195">
        <v>9</v>
      </c>
      <c r="C68" s="195">
        <f t="shared" si="52"/>
        <v>0</v>
      </c>
      <c r="D68" s="195">
        <f t="shared" si="53"/>
        <v>0</v>
      </c>
      <c r="E68" s="195">
        <f t="shared" si="41"/>
        <v>0</v>
      </c>
      <c r="F68" s="195">
        <f t="shared" si="54"/>
        <v>0</v>
      </c>
      <c r="G68" s="195">
        <f t="shared" si="42"/>
        <v>0</v>
      </c>
      <c r="H68" s="195">
        <f t="shared" si="55"/>
        <v>0</v>
      </c>
      <c r="I68" s="195">
        <f t="shared" si="43"/>
        <v>0</v>
      </c>
      <c r="J68" s="195">
        <f t="shared" si="56"/>
        <v>0</v>
      </c>
      <c r="K68" s="195">
        <f t="shared" si="44"/>
        <v>0</v>
      </c>
      <c r="L68" s="195">
        <f t="shared" si="57"/>
        <v>0</v>
      </c>
      <c r="M68" s="195">
        <f t="shared" si="45"/>
        <v>12</v>
      </c>
      <c r="N68" s="195">
        <f t="shared" si="58"/>
        <v>4.7430830039525684</v>
      </c>
      <c r="O68" s="195">
        <f t="shared" si="46"/>
        <v>0</v>
      </c>
      <c r="P68" s="195">
        <f t="shared" si="59"/>
        <v>0</v>
      </c>
      <c r="Q68" s="195">
        <f t="shared" si="47"/>
        <v>0</v>
      </c>
      <c r="R68" s="195">
        <f t="shared" si="60"/>
        <v>0</v>
      </c>
      <c r="S68" s="195">
        <f t="shared" si="48"/>
        <v>0</v>
      </c>
      <c r="T68" s="195">
        <f t="shared" si="61"/>
        <v>0</v>
      </c>
      <c r="U68" s="195">
        <f t="shared" si="49"/>
        <v>3</v>
      </c>
      <c r="V68" s="195">
        <f t="shared" si="62"/>
        <v>1.1857707509881421</v>
      </c>
      <c r="W68" s="195">
        <f t="shared" si="50"/>
        <v>0</v>
      </c>
      <c r="X68" s="195">
        <f t="shared" si="63"/>
        <v>0</v>
      </c>
      <c r="Y68" s="195">
        <f t="shared" si="51"/>
        <v>0</v>
      </c>
      <c r="Z68" s="195">
        <f t="shared" si="64"/>
        <v>0</v>
      </c>
      <c r="AA68" s="195">
        <f t="shared" si="65"/>
        <v>15</v>
      </c>
      <c r="AB68" s="195">
        <f t="shared" si="65"/>
        <v>0.67628494138863837</v>
      </c>
      <c r="AH68" s="195">
        <v>6</v>
      </c>
      <c r="AI68" s="195">
        <v>0</v>
      </c>
      <c r="AJ68" s="195">
        <v>0</v>
      </c>
      <c r="AK68" s="195">
        <v>0</v>
      </c>
      <c r="AL68" s="195">
        <v>0</v>
      </c>
      <c r="AM68" s="195">
        <v>0</v>
      </c>
      <c r="AN68" s="195">
        <v>0</v>
      </c>
      <c r="AO68" s="195">
        <v>0</v>
      </c>
      <c r="AP68" s="195">
        <v>0</v>
      </c>
      <c r="AQ68" s="195">
        <v>0</v>
      </c>
      <c r="AR68" s="195">
        <v>0</v>
      </c>
      <c r="AS68" s="195">
        <v>11.857707509881422</v>
      </c>
      <c r="AT68" s="195">
        <v>30</v>
      </c>
      <c r="AU68" s="195">
        <v>0</v>
      </c>
      <c r="AV68" s="195">
        <v>0</v>
      </c>
      <c r="AW68" s="195">
        <v>0</v>
      </c>
      <c r="AX68" s="195">
        <v>0</v>
      </c>
      <c r="AY68" s="195">
        <v>3.3898305084745762E-3</v>
      </c>
      <c r="AZ68" s="195">
        <v>1</v>
      </c>
      <c r="BA68" s="195">
        <v>3.5573122529644272</v>
      </c>
      <c r="BB68" s="195">
        <v>9</v>
      </c>
      <c r="BC68" s="195">
        <v>0</v>
      </c>
      <c r="BD68" s="195">
        <v>0</v>
      </c>
      <c r="BE68" s="195">
        <v>0</v>
      </c>
      <c r="BF68" s="195">
        <v>0</v>
      </c>
      <c r="BG68" s="195">
        <v>40</v>
      </c>
      <c r="BH68" s="195">
        <v>1.8034265103697025</v>
      </c>
    </row>
    <row r="69" spans="2:60" x14ac:dyDescent="0.3">
      <c r="B69" s="195">
        <v>8</v>
      </c>
      <c r="C69" s="195">
        <f t="shared" si="52"/>
        <v>0</v>
      </c>
      <c r="D69" s="195">
        <f t="shared" si="53"/>
        <v>0</v>
      </c>
      <c r="E69" s="195">
        <f t="shared" si="41"/>
        <v>0</v>
      </c>
      <c r="F69" s="195">
        <f t="shared" si="54"/>
        <v>0</v>
      </c>
      <c r="G69" s="195">
        <f t="shared" si="42"/>
        <v>0</v>
      </c>
      <c r="H69" s="195">
        <f t="shared" si="55"/>
        <v>0</v>
      </c>
      <c r="I69" s="195">
        <f t="shared" si="43"/>
        <v>0</v>
      </c>
      <c r="J69" s="195">
        <f t="shared" si="56"/>
        <v>0</v>
      </c>
      <c r="K69" s="195">
        <f t="shared" si="44"/>
        <v>0</v>
      </c>
      <c r="L69" s="195">
        <f t="shared" si="57"/>
        <v>0</v>
      </c>
      <c r="M69" s="195">
        <f t="shared" si="45"/>
        <v>18</v>
      </c>
      <c r="N69" s="195">
        <f t="shared" si="58"/>
        <v>7.1146245059288544</v>
      </c>
      <c r="O69" s="195">
        <f t="shared" si="46"/>
        <v>0</v>
      </c>
      <c r="P69" s="195">
        <f t="shared" si="59"/>
        <v>0</v>
      </c>
      <c r="Q69" s="195">
        <f t="shared" si="47"/>
        <v>0</v>
      </c>
      <c r="R69" s="195">
        <f t="shared" si="60"/>
        <v>0</v>
      </c>
      <c r="S69" s="195">
        <f t="shared" si="48"/>
        <v>0</v>
      </c>
      <c r="T69" s="195">
        <f t="shared" si="61"/>
        <v>0</v>
      </c>
      <c r="U69" s="195">
        <f t="shared" si="49"/>
        <v>5</v>
      </c>
      <c r="V69" s="195">
        <f t="shared" si="62"/>
        <v>1.9762845849802373</v>
      </c>
      <c r="W69" s="195">
        <f t="shared" si="50"/>
        <v>0</v>
      </c>
      <c r="X69" s="195">
        <f t="shared" si="63"/>
        <v>0</v>
      </c>
      <c r="Y69" s="195">
        <f t="shared" si="51"/>
        <v>0</v>
      </c>
      <c r="Z69" s="195">
        <f t="shared" si="64"/>
        <v>0</v>
      </c>
      <c r="AA69" s="195">
        <f t="shared" si="65"/>
        <v>23</v>
      </c>
      <c r="AB69" s="195">
        <f t="shared" si="65"/>
        <v>1.0369702434625787</v>
      </c>
      <c r="AH69" s="195">
        <v>5</v>
      </c>
      <c r="AI69" s="195">
        <v>0</v>
      </c>
      <c r="AJ69" s="195">
        <v>0</v>
      </c>
      <c r="AK69" s="195">
        <v>0</v>
      </c>
      <c r="AL69" s="195">
        <v>0</v>
      </c>
      <c r="AM69" s="195">
        <v>0</v>
      </c>
      <c r="AN69" s="195">
        <v>0</v>
      </c>
      <c r="AO69" s="195">
        <v>1.1029411764705883</v>
      </c>
      <c r="AP69" s="195">
        <v>3</v>
      </c>
      <c r="AQ69" s="195">
        <v>0</v>
      </c>
      <c r="AR69" s="195">
        <v>0</v>
      </c>
      <c r="AS69" s="195">
        <v>14.229249011857709</v>
      </c>
      <c r="AT69" s="195">
        <v>36</v>
      </c>
      <c r="AU69" s="195">
        <v>1.6304347826086956</v>
      </c>
      <c r="AV69" s="195">
        <v>3</v>
      </c>
      <c r="AW69" s="195">
        <v>0</v>
      </c>
      <c r="AX69" s="195">
        <v>0</v>
      </c>
      <c r="AY69" s="195">
        <v>6.7796610169491523E-3</v>
      </c>
      <c r="AZ69" s="195">
        <v>2</v>
      </c>
      <c r="BA69" s="195">
        <v>4.3478260869565215</v>
      </c>
      <c r="BB69" s="195">
        <v>11</v>
      </c>
      <c r="BC69" s="195">
        <v>0</v>
      </c>
      <c r="BD69" s="195">
        <v>0</v>
      </c>
      <c r="BE69" s="195">
        <v>0</v>
      </c>
      <c r="BF69" s="195">
        <v>0</v>
      </c>
      <c r="BG69" s="195">
        <v>55</v>
      </c>
      <c r="BH69" s="195">
        <v>2.479711451758341</v>
      </c>
    </row>
    <row r="70" spans="2:60" x14ac:dyDescent="0.3">
      <c r="B70" s="195">
        <v>7</v>
      </c>
      <c r="C70" s="195">
        <f t="shared" si="52"/>
        <v>0</v>
      </c>
      <c r="D70" s="195">
        <f t="shared" si="53"/>
        <v>0</v>
      </c>
      <c r="E70" s="195">
        <f t="shared" si="41"/>
        <v>0</v>
      </c>
      <c r="F70" s="195">
        <f t="shared" si="54"/>
        <v>0</v>
      </c>
      <c r="G70" s="195">
        <f t="shared" si="42"/>
        <v>0</v>
      </c>
      <c r="H70" s="195">
        <f t="shared" si="55"/>
        <v>0</v>
      </c>
      <c r="I70" s="195">
        <f t="shared" si="43"/>
        <v>0</v>
      </c>
      <c r="J70" s="195">
        <f t="shared" si="56"/>
        <v>0</v>
      </c>
      <c r="K70" s="195">
        <f t="shared" si="44"/>
        <v>0</v>
      </c>
      <c r="L70" s="195">
        <f t="shared" si="57"/>
        <v>0</v>
      </c>
      <c r="M70" s="195">
        <f t="shared" si="45"/>
        <v>24</v>
      </c>
      <c r="N70" s="195">
        <f t="shared" si="58"/>
        <v>9.4861660079051369</v>
      </c>
      <c r="O70" s="195">
        <f t="shared" si="46"/>
        <v>0</v>
      </c>
      <c r="P70" s="195">
        <f t="shared" si="59"/>
        <v>0</v>
      </c>
      <c r="Q70" s="195">
        <f t="shared" si="47"/>
        <v>0</v>
      </c>
      <c r="R70" s="195">
        <f t="shared" si="60"/>
        <v>0</v>
      </c>
      <c r="S70" s="195">
        <f t="shared" si="48"/>
        <v>0</v>
      </c>
      <c r="T70" s="195">
        <f t="shared" si="61"/>
        <v>0</v>
      </c>
      <c r="U70" s="195">
        <f t="shared" si="49"/>
        <v>7</v>
      </c>
      <c r="V70" s="195">
        <f t="shared" si="62"/>
        <v>2.766798418972332</v>
      </c>
      <c r="W70" s="195">
        <f t="shared" si="50"/>
        <v>0</v>
      </c>
      <c r="X70" s="195">
        <f t="shared" si="63"/>
        <v>0</v>
      </c>
      <c r="Y70" s="195">
        <f t="shared" si="51"/>
        <v>0</v>
      </c>
      <c r="Z70" s="195">
        <f t="shared" si="64"/>
        <v>0</v>
      </c>
      <c r="AA70" s="195">
        <f t="shared" si="65"/>
        <v>31</v>
      </c>
      <c r="AB70" s="195">
        <f t="shared" si="65"/>
        <v>1.3976555455365194</v>
      </c>
      <c r="AH70" s="195">
        <v>4</v>
      </c>
      <c r="AI70" s="195">
        <v>0</v>
      </c>
      <c r="AJ70" s="195">
        <v>0</v>
      </c>
      <c r="AK70" s="195">
        <v>0</v>
      </c>
      <c r="AL70" s="195">
        <v>0</v>
      </c>
      <c r="AM70" s="195">
        <v>0.55865921787709494</v>
      </c>
      <c r="AN70" s="195">
        <v>1</v>
      </c>
      <c r="AO70" s="195">
        <v>2.9411764705882351</v>
      </c>
      <c r="AP70" s="195">
        <v>8</v>
      </c>
      <c r="AQ70" s="195">
        <v>0</v>
      </c>
      <c r="AR70" s="195">
        <v>0</v>
      </c>
      <c r="AS70" s="195">
        <v>16.600790513833992</v>
      </c>
      <c r="AT70" s="195">
        <v>42</v>
      </c>
      <c r="AU70" s="195">
        <v>3.804347826086957</v>
      </c>
      <c r="AV70" s="195">
        <v>7</v>
      </c>
      <c r="AW70" s="195">
        <v>0</v>
      </c>
      <c r="AX70" s="195">
        <v>0</v>
      </c>
      <c r="AY70" s="195">
        <v>1.0169491525423728E-2</v>
      </c>
      <c r="AZ70" s="195">
        <v>3</v>
      </c>
      <c r="BA70" s="195">
        <v>5.1383399209486171</v>
      </c>
      <c r="BB70" s="195">
        <v>13</v>
      </c>
      <c r="BC70" s="195">
        <v>0</v>
      </c>
      <c r="BD70" s="195">
        <v>0</v>
      </c>
      <c r="BE70" s="195">
        <v>0</v>
      </c>
      <c r="BF70" s="195">
        <v>0</v>
      </c>
      <c r="BG70" s="195">
        <v>74</v>
      </c>
      <c r="BH70" s="195">
        <v>3.3363390441839496</v>
      </c>
    </row>
    <row r="71" spans="2:60" x14ac:dyDescent="0.3">
      <c r="B71" s="195">
        <v>6</v>
      </c>
      <c r="C71" s="195">
        <f t="shared" si="52"/>
        <v>0</v>
      </c>
      <c r="D71" s="195">
        <f t="shared" si="53"/>
        <v>0</v>
      </c>
      <c r="E71" s="195">
        <f t="shared" si="41"/>
        <v>0</v>
      </c>
      <c r="F71" s="195">
        <f t="shared" si="54"/>
        <v>0</v>
      </c>
      <c r="G71" s="195">
        <f t="shared" si="42"/>
        <v>0</v>
      </c>
      <c r="H71" s="195">
        <f t="shared" si="55"/>
        <v>0</v>
      </c>
      <c r="I71" s="195">
        <f t="shared" si="43"/>
        <v>0</v>
      </c>
      <c r="J71" s="195">
        <f t="shared" si="56"/>
        <v>0</v>
      </c>
      <c r="K71" s="195">
        <f t="shared" si="44"/>
        <v>0</v>
      </c>
      <c r="L71" s="195">
        <f t="shared" si="57"/>
        <v>0</v>
      </c>
      <c r="M71" s="195">
        <f t="shared" si="45"/>
        <v>30</v>
      </c>
      <c r="N71" s="195">
        <f t="shared" si="58"/>
        <v>11.857707509881422</v>
      </c>
      <c r="O71" s="195">
        <f t="shared" si="46"/>
        <v>0</v>
      </c>
      <c r="P71" s="195">
        <f t="shared" si="59"/>
        <v>0</v>
      </c>
      <c r="Q71" s="195">
        <f t="shared" si="47"/>
        <v>0</v>
      </c>
      <c r="R71" s="195">
        <f t="shared" si="60"/>
        <v>0</v>
      </c>
      <c r="S71" s="195">
        <f t="shared" si="48"/>
        <v>1</v>
      </c>
      <c r="T71" s="195">
        <f t="shared" si="61"/>
        <v>3.3898305084745762E-3</v>
      </c>
      <c r="U71" s="195">
        <f t="shared" si="49"/>
        <v>9</v>
      </c>
      <c r="V71" s="195">
        <f t="shared" si="62"/>
        <v>3.5573122529644272</v>
      </c>
      <c r="W71" s="195">
        <f t="shared" si="50"/>
        <v>0</v>
      </c>
      <c r="X71" s="195">
        <f t="shared" si="63"/>
        <v>0</v>
      </c>
      <c r="Y71" s="195">
        <f t="shared" si="51"/>
        <v>0</v>
      </c>
      <c r="Z71" s="195">
        <f t="shared" si="64"/>
        <v>0</v>
      </c>
      <c r="AA71" s="195">
        <f t="shared" si="65"/>
        <v>40</v>
      </c>
      <c r="AB71" s="195">
        <f t="shared" si="65"/>
        <v>1.8034265103697025</v>
      </c>
      <c r="AH71" s="195">
        <v>3</v>
      </c>
      <c r="AI71" s="195">
        <v>0</v>
      </c>
      <c r="AJ71" s="195">
        <v>0</v>
      </c>
      <c r="AK71" s="195">
        <v>0</v>
      </c>
      <c r="AL71" s="195">
        <v>0</v>
      </c>
      <c r="AM71" s="195">
        <v>5.027932960893855</v>
      </c>
      <c r="AN71" s="195">
        <v>9</v>
      </c>
      <c r="AO71" s="195">
        <v>4.7794117647058822</v>
      </c>
      <c r="AP71" s="195">
        <v>13</v>
      </c>
      <c r="AQ71" s="195">
        <v>0</v>
      </c>
      <c r="AR71" s="195">
        <v>0</v>
      </c>
      <c r="AS71" s="195">
        <v>18.972332015810274</v>
      </c>
      <c r="AT71" s="195">
        <v>48</v>
      </c>
      <c r="AU71" s="195">
        <v>8.695652173913043</v>
      </c>
      <c r="AV71" s="195">
        <v>16</v>
      </c>
      <c r="AW71" s="195">
        <v>0</v>
      </c>
      <c r="AX71" s="195">
        <v>0</v>
      </c>
      <c r="AY71" s="195">
        <v>1.3559322033898305E-2</v>
      </c>
      <c r="AZ71" s="195">
        <v>4</v>
      </c>
      <c r="BA71" s="195">
        <v>6.7193675889328066</v>
      </c>
      <c r="BB71" s="195">
        <v>17</v>
      </c>
      <c r="BC71" s="195">
        <v>4.6875</v>
      </c>
      <c r="BD71" s="195">
        <v>3</v>
      </c>
      <c r="BE71" s="195">
        <v>3.225806451612903</v>
      </c>
      <c r="BF71" s="195">
        <v>3</v>
      </c>
      <c r="BG71" s="195">
        <v>113</v>
      </c>
      <c r="BH71" s="195">
        <v>5.0946798917944101</v>
      </c>
    </row>
    <row r="72" spans="2:60" x14ac:dyDescent="0.3">
      <c r="B72" s="195">
        <v>5</v>
      </c>
      <c r="C72" s="195">
        <f t="shared" si="52"/>
        <v>0</v>
      </c>
      <c r="D72" s="195">
        <f t="shared" si="53"/>
        <v>0</v>
      </c>
      <c r="E72" s="195">
        <f t="shared" si="41"/>
        <v>0</v>
      </c>
      <c r="F72" s="195">
        <f t="shared" si="54"/>
        <v>0</v>
      </c>
      <c r="G72" s="195">
        <f t="shared" si="42"/>
        <v>0</v>
      </c>
      <c r="H72" s="195">
        <f t="shared" si="55"/>
        <v>0</v>
      </c>
      <c r="I72" s="195">
        <f t="shared" si="43"/>
        <v>3</v>
      </c>
      <c r="J72" s="195">
        <f t="shared" si="56"/>
        <v>1.1029411764705883</v>
      </c>
      <c r="K72" s="195">
        <f t="shared" si="44"/>
        <v>0</v>
      </c>
      <c r="L72" s="195">
        <f t="shared" si="57"/>
        <v>0</v>
      </c>
      <c r="M72" s="195">
        <f t="shared" si="45"/>
        <v>36</v>
      </c>
      <c r="N72" s="195">
        <f t="shared" si="58"/>
        <v>14.229249011857709</v>
      </c>
      <c r="O72" s="195">
        <f t="shared" si="46"/>
        <v>3</v>
      </c>
      <c r="P72" s="195">
        <f t="shared" si="59"/>
        <v>1.6304347826086956</v>
      </c>
      <c r="Q72" s="195">
        <f t="shared" si="47"/>
        <v>0</v>
      </c>
      <c r="R72" s="195">
        <f t="shared" si="60"/>
        <v>0</v>
      </c>
      <c r="S72" s="195">
        <f t="shared" si="48"/>
        <v>2</v>
      </c>
      <c r="T72" s="195">
        <f t="shared" si="61"/>
        <v>6.7796610169491523E-3</v>
      </c>
      <c r="U72" s="195">
        <f t="shared" si="49"/>
        <v>11</v>
      </c>
      <c r="V72" s="195">
        <f t="shared" si="62"/>
        <v>4.3478260869565215</v>
      </c>
      <c r="W72" s="195">
        <f t="shared" si="50"/>
        <v>0</v>
      </c>
      <c r="X72" s="195">
        <f t="shared" si="63"/>
        <v>0</v>
      </c>
      <c r="Y72" s="195">
        <f t="shared" si="51"/>
        <v>0</v>
      </c>
      <c r="Z72" s="195">
        <f t="shared" si="64"/>
        <v>0</v>
      </c>
      <c r="AA72" s="195">
        <f t="shared" si="65"/>
        <v>55</v>
      </c>
      <c r="AB72" s="195">
        <f t="shared" si="65"/>
        <v>2.479711451758341</v>
      </c>
      <c r="AH72" s="195">
        <v>2</v>
      </c>
      <c r="AI72" s="195">
        <v>9.375</v>
      </c>
      <c r="AJ72" s="195">
        <v>3</v>
      </c>
      <c r="AK72" s="195">
        <v>7.6923076923076925</v>
      </c>
      <c r="AL72" s="195">
        <v>2</v>
      </c>
      <c r="AM72" s="195">
        <v>18.994413407821227</v>
      </c>
      <c r="AN72" s="195">
        <v>34</v>
      </c>
      <c r="AO72" s="195">
        <v>8.8235294117647065</v>
      </c>
      <c r="AP72" s="195">
        <v>24</v>
      </c>
      <c r="AQ72" s="195">
        <v>6.9930069930069934</v>
      </c>
      <c r="AR72" s="195">
        <v>20</v>
      </c>
      <c r="AS72" s="195">
        <v>22.529644268774703</v>
      </c>
      <c r="AT72" s="195">
        <v>57</v>
      </c>
      <c r="AU72" s="195">
        <v>13.586956521739129</v>
      </c>
      <c r="AV72" s="195">
        <v>25</v>
      </c>
      <c r="AW72" s="195">
        <v>2.1352313167259789</v>
      </c>
      <c r="AX72" s="195">
        <v>6</v>
      </c>
      <c r="AY72" s="195">
        <v>4.4067796610169491E-2</v>
      </c>
      <c r="AZ72" s="195">
        <v>13</v>
      </c>
      <c r="BA72" s="195">
        <v>9.0909090909090917</v>
      </c>
      <c r="BB72" s="195">
        <v>23</v>
      </c>
      <c r="BC72" s="195">
        <v>9.375</v>
      </c>
      <c r="BD72" s="195">
        <v>6</v>
      </c>
      <c r="BE72" s="195">
        <v>9.67741935483871</v>
      </c>
      <c r="BF72" s="195">
        <v>9</v>
      </c>
      <c r="BG72" s="195">
        <v>222</v>
      </c>
      <c r="BH72" s="195">
        <v>10.009017132551849</v>
      </c>
    </row>
    <row r="73" spans="2:60" x14ac:dyDescent="0.3">
      <c r="B73" s="195">
        <v>4</v>
      </c>
      <c r="C73" s="195">
        <f t="shared" si="52"/>
        <v>0</v>
      </c>
      <c r="D73" s="195">
        <f t="shared" si="53"/>
        <v>0</v>
      </c>
      <c r="E73" s="195">
        <f t="shared" si="41"/>
        <v>0</v>
      </c>
      <c r="F73" s="195">
        <f t="shared" si="54"/>
        <v>0</v>
      </c>
      <c r="G73" s="195">
        <f t="shared" si="42"/>
        <v>1</v>
      </c>
      <c r="H73" s="195">
        <f t="shared" si="55"/>
        <v>0.55865921787709494</v>
      </c>
      <c r="I73" s="195">
        <f t="shared" si="43"/>
        <v>8</v>
      </c>
      <c r="J73" s="195">
        <f t="shared" si="56"/>
        <v>2.9411764705882351</v>
      </c>
      <c r="K73" s="195">
        <f t="shared" si="44"/>
        <v>0</v>
      </c>
      <c r="L73" s="195">
        <f t="shared" si="57"/>
        <v>0</v>
      </c>
      <c r="M73" s="195">
        <f t="shared" si="45"/>
        <v>42</v>
      </c>
      <c r="N73" s="195">
        <f t="shared" si="58"/>
        <v>16.600790513833992</v>
      </c>
      <c r="O73" s="195">
        <f t="shared" si="46"/>
        <v>7</v>
      </c>
      <c r="P73" s="195">
        <f t="shared" si="59"/>
        <v>3.804347826086957</v>
      </c>
      <c r="Q73" s="195">
        <f t="shared" si="47"/>
        <v>0</v>
      </c>
      <c r="R73" s="195">
        <f t="shared" si="60"/>
        <v>0</v>
      </c>
      <c r="S73" s="195">
        <f t="shared" si="48"/>
        <v>3</v>
      </c>
      <c r="T73" s="195">
        <f t="shared" si="61"/>
        <v>1.0169491525423728E-2</v>
      </c>
      <c r="U73" s="195">
        <f t="shared" si="49"/>
        <v>13</v>
      </c>
      <c r="V73" s="195">
        <f t="shared" si="62"/>
        <v>5.1383399209486171</v>
      </c>
      <c r="W73" s="195">
        <f t="shared" si="50"/>
        <v>0</v>
      </c>
      <c r="X73" s="195">
        <f t="shared" si="63"/>
        <v>0</v>
      </c>
      <c r="Y73" s="195">
        <f t="shared" si="51"/>
        <v>0</v>
      </c>
      <c r="Z73" s="195">
        <f t="shared" si="64"/>
        <v>0</v>
      </c>
      <c r="AA73" s="195">
        <f t="shared" si="65"/>
        <v>74</v>
      </c>
      <c r="AB73" s="195">
        <f t="shared" si="65"/>
        <v>3.3363390441839496</v>
      </c>
      <c r="AH73" s="195">
        <v>1</v>
      </c>
      <c r="AI73" s="195">
        <v>34.375</v>
      </c>
      <c r="AJ73" s="195">
        <v>11</v>
      </c>
      <c r="AK73" s="195">
        <v>38.461538461538467</v>
      </c>
      <c r="AL73" s="195">
        <v>10</v>
      </c>
      <c r="AM73" s="195">
        <v>41.899441340782126</v>
      </c>
      <c r="AN73" s="195">
        <v>75</v>
      </c>
      <c r="AO73" s="195">
        <v>23.897058823529413</v>
      </c>
      <c r="AP73" s="195">
        <v>65</v>
      </c>
      <c r="AQ73" s="195">
        <v>21.678321678321677</v>
      </c>
      <c r="AR73" s="195">
        <v>62</v>
      </c>
      <c r="AS73" s="195">
        <v>30.434782608695656</v>
      </c>
      <c r="AT73" s="195">
        <v>77</v>
      </c>
      <c r="AU73" s="195">
        <v>30.434782608695656</v>
      </c>
      <c r="AV73" s="195">
        <v>56</v>
      </c>
      <c r="AW73" s="195">
        <v>19.9288256227758</v>
      </c>
      <c r="AX73" s="195">
        <v>56</v>
      </c>
      <c r="AY73" s="195">
        <v>0.21016949152542372</v>
      </c>
      <c r="AZ73" s="195">
        <v>62</v>
      </c>
      <c r="BA73" s="195">
        <v>18.57707509881423</v>
      </c>
      <c r="BB73" s="195">
        <v>47</v>
      </c>
      <c r="BC73" s="195">
        <v>20.3125</v>
      </c>
      <c r="BD73" s="195">
        <v>13</v>
      </c>
      <c r="BE73" s="195">
        <v>29.032258064516132</v>
      </c>
      <c r="BF73" s="195">
        <v>27</v>
      </c>
      <c r="BG73" s="195">
        <v>561</v>
      </c>
      <c r="BH73" s="195">
        <v>25.293056807935077</v>
      </c>
    </row>
    <row r="74" spans="2:60" x14ac:dyDescent="0.3">
      <c r="B74" s="195">
        <v>3</v>
      </c>
      <c r="C74" s="195">
        <f t="shared" si="52"/>
        <v>0</v>
      </c>
      <c r="D74" s="195">
        <f t="shared" si="53"/>
        <v>0</v>
      </c>
      <c r="E74" s="195">
        <f t="shared" si="41"/>
        <v>0</v>
      </c>
      <c r="F74" s="195">
        <f t="shared" si="54"/>
        <v>0</v>
      </c>
      <c r="G74" s="195">
        <f t="shared" si="42"/>
        <v>9</v>
      </c>
      <c r="H74" s="195">
        <f t="shared" si="55"/>
        <v>5.027932960893855</v>
      </c>
      <c r="I74" s="195">
        <f t="shared" si="43"/>
        <v>13</v>
      </c>
      <c r="J74" s="195">
        <f t="shared" si="56"/>
        <v>4.7794117647058822</v>
      </c>
      <c r="K74" s="195">
        <f t="shared" si="44"/>
        <v>0</v>
      </c>
      <c r="L74" s="195">
        <f t="shared" si="57"/>
        <v>0</v>
      </c>
      <c r="M74" s="195">
        <f t="shared" si="45"/>
        <v>48</v>
      </c>
      <c r="N74" s="195">
        <f t="shared" si="58"/>
        <v>18.972332015810274</v>
      </c>
      <c r="O74" s="195">
        <f t="shared" si="46"/>
        <v>16</v>
      </c>
      <c r="P74" s="195">
        <f t="shared" si="59"/>
        <v>8.695652173913043</v>
      </c>
      <c r="Q74" s="195">
        <f t="shared" si="47"/>
        <v>0</v>
      </c>
      <c r="R74" s="195">
        <f t="shared" si="60"/>
        <v>0</v>
      </c>
      <c r="S74" s="195">
        <f t="shared" si="48"/>
        <v>4</v>
      </c>
      <c r="T74" s="195">
        <f t="shared" si="61"/>
        <v>1.3559322033898305E-2</v>
      </c>
      <c r="U74" s="195">
        <f t="shared" si="49"/>
        <v>17</v>
      </c>
      <c r="V74" s="195">
        <f t="shared" si="62"/>
        <v>6.7193675889328066</v>
      </c>
      <c r="W74" s="195">
        <f t="shared" si="50"/>
        <v>3</v>
      </c>
      <c r="X74" s="195">
        <f t="shared" si="63"/>
        <v>4.6875</v>
      </c>
      <c r="Y74" s="195">
        <f t="shared" si="51"/>
        <v>3</v>
      </c>
      <c r="Z74" s="195">
        <f t="shared" si="64"/>
        <v>3.225806451612903</v>
      </c>
      <c r="AA74" s="195">
        <f t="shared" si="65"/>
        <v>113</v>
      </c>
      <c r="AB74" s="195">
        <f t="shared" si="65"/>
        <v>5.0946798917944101</v>
      </c>
    </row>
    <row r="75" spans="2:60" x14ac:dyDescent="0.3">
      <c r="B75" s="195">
        <v>2</v>
      </c>
      <c r="C75" s="195">
        <f t="shared" si="52"/>
        <v>3</v>
      </c>
      <c r="D75" s="195">
        <f t="shared" si="53"/>
        <v>9.375</v>
      </c>
      <c r="E75" s="195">
        <f t="shared" si="41"/>
        <v>2</v>
      </c>
      <c r="F75" s="195">
        <f t="shared" si="54"/>
        <v>7.6923076923076925</v>
      </c>
      <c r="G75" s="195">
        <f t="shared" si="42"/>
        <v>34</v>
      </c>
      <c r="H75" s="195">
        <f t="shared" si="55"/>
        <v>18.994413407821227</v>
      </c>
      <c r="I75" s="195">
        <f t="shared" si="43"/>
        <v>24</v>
      </c>
      <c r="J75" s="195">
        <f t="shared" si="56"/>
        <v>8.8235294117647065</v>
      </c>
      <c r="K75" s="195">
        <f t="shared" si="44"/>
        <v>20</v>
      </c>
      <c r="L75" s="195">
        <f t="shared" si="57"/>
        <v>6.9930069930069934</v>
      </c>
      <c r="M75" s="195">
        <f t="shared" si="45"/>
        <v>57</v>
      </c>
      <c r="N75" s="195">
        <f t="shared" si="58"/>
        <v>22.529644268774703</v>
      </c>
      <c r="O75" s="195">
        <f t="shared" si="46"/>
        <v>25</v>
      </c>
      <c r="P75" s="195">
        <f t="shared" si="59"/>
        <v>13.586956521739129</v>
      </c>
      <c r="Q75" s="195">
        <f t="shared" si="47"/>
        <v>6</v>
      </c>
      <c r="R75" s="195">
        <f t="shared" si="60"/>
        <v>2.1352313167259789</v>
      </c>
      <c r="S75" s="195">
        <f t="shared" si="48"/>
        <v>13</v>
      </c>
      <c r="T75" s="195">
        <f t="shared" si="61"/>
        <v>4.4067796610169491E-2</v>
      </c>
      <c r="U75" s="195">
        <f t="shared" si="49"/>
        <v>23</v>
      </c>
      <c r="V75" s="195">
        <f t="shared" si="62"/>
        <v>9.0909090909090917</v>
      </c>
      <c r="W75" s="195">
        <f t="shared" si="50"/>
        <v>6</v>
      </c>
      <c r="X75" s="195">
        <f t="shared" si="63"/>
        <v>9.375</v>
      </c>
      <c r="Y75" s="195">
        <f t="shared" si="51"/>
        <v>9</v>
      </c>
      <c r="Z75" s="195">
        <f t="shared" si="64"/>
        <v>9.67741935483871</v>
      </c>
      <c r="AA75" s="195">
        <f t="shared" si="65"/>
        <v>222</v>
      </c>
      <c r="AB75" s="195">
        <f t="shared" si="65"/>
        <v>10.009017132551849</v>
      </c>
      <c r="AI75" s="195">
        <v>1</v>
      </c>
      <c r="AJ75" s="195">
        <v>2</v>
      </c>
      <c r="AK75" s="195">
        <v>1</v>
      </c>
      <c r="AL75" s="195">
        <v>2</v>
      </c>
      <c r="AM75" s="195">
        <v>1</v>
      </c>
      <c r="AN75" s="195">
        <v>2</v>
      </c>
      <c r="AO75" s="195">
        <v>1</v>
      </c>
      <c r="AP75" s="195">
        <v>2</v>
      </c>
      <c r="AQ75" s="195">
        <v>1</v>
      </c>
      <c r="AR75" s="195">
        <v>2</v>
      </c>
      <c r="AS75" s="195">
        <v>1</v>
      </c>
      <c r="AT75" s="195">
        <v>2</v>
      </c>
      <c r="AU75" s="195">
        <v>1</v>
      </c>
      <c r="AV75" s="195">
        <v>2</v>
      </c>
      <c r="AW75" s="195">
        <v>1</v>
      </c>
      <c r="AX75" s="195">
        <v>2</v>
      </c>
      <c r="AY75" s="195">
        <v>1</v>
      </c>
      <c r="AZ75" s="195">
        <v>2</v>
      </c>
      <c r="BA75" s="195">
        <v>1</v>
      </c>
      <c r="BB75" s="195">
        <v>2</v>
      </c>
      <c r="BC75" s="195">
        <v>1</v>
      </c>
      <c r="BD75" s="195">
        <v>2</v>
      </c>
      <c r="BE75" s="195">
        <v>1</v>
      </c>
      <c r="BF75" s="195">
        <v>2</v>
      </c>
      <c r="BG75" s="195">
        <v>1</v>
      </c>
      <c r="BH75" s="195">
        <v>2</v>
      </c>
    </row>
    <row r="76" spans="2:60" x14ac:dyDescent="0.3">
      <c r="B76" s="195">
        <v>1</v>
      </c>
      <c r="C76" s="195">
        <f t="shared" si="52"/>
        <v>11</v>
      </c>
      <c r="D76" s="195">
        <f t="shared" si="53"/>
        <v>34.375</v>
      </c>
      <c r="E76" s="195">
        <f t="shared" si="41"/>
        <v>10</v>
      </c>
      <c r="F76" s="195">
        <f t="shared" si="54"/>
        <v>38.461538461538467</v>
      </c>
      <c r="G76" s="195">
        <f t="shared" si="42"/>
        <v>75</v>
      </c>
      <c r="H76" s="195">
        <f t="shared" si="55"/>
        <v>41.899441340782126</v>
      </c>
      <c r="I76" s="195">
        <f t="shared" si="43"/>
        <v>65</v>
      </c>
      <c r="J76" s="195">
        <f t="shared" si="56"/>
        <v>23.897058823529413</v>
      </c>
      <c r="K76" s="195">
        <f t="shared" si="44"/>
        <v>62</v>
      </c>
      <c r="L76" s="195">
        <f t="shared" si="57"/>
        <v>21.678321678321677</v>
      </c>
      <c r="M76" s="195">
        <f t="shared" si="45"/>
        <v>77</v>
      </c>
      <c r="N76" s="195">
        <f t="shared" si="58"/>
        <v>30.434782608695656</v>
      </c>
      <c r="O76" s="195">
        <f t="shared" si="46"/>
        <v>56</v>
      </c>
      <c r="P76" s="195">
        <f t="shared" si="59"/>
        <v>30.434782608695656</v>
      </c>
      <c r="Q76" s="195">
        <f t="shared" si="47"/>
        <v>56</v>
      </c>
      <c r="R76" s="195">
        <f t="shared" si="60"/>
        <v>19.9288256227758</v>
      </c>
      <c r="S76" s="195">
        <f t="shared" si="48"/>
        <v>62</v>
      </c>
      <c r="T76" s="195">
        <f t="shared" si="61"/>
        <v>0.21016949152542372</v>
      </c>
      <c r="U76" s="195">
        <f t="shared" si="49"/>
        <v>47</v>
      </c>
      <c r="V76" s="195">
        <f t="shared" si="62"/>
        <v>18.57707509881423</v>
      </c>
      <c r="W76" s="195">
        <f t="shared" si="50"/>
        <v>13</v>
      </c>
      <c r="X76" s="195">
        <f t="shared" si="63"/>
        <v>20.3125</v>
      </c>
      <c r="Y76" s="195">
        <f t="shared" si="51"/>
        <v>27</v>
      </c>
      <c r="Z76" s="195">
        <f t="shared" si="64"/>
        <v>29.032258064516132</v>
      </c>
      <c r="AA76" s="195">
        <f t="shared" si="65"/>
        <v>561</v>
      </c>
      <c r="AB76" s="195">
        <f t="shared" si="65"/>
        <v>25.293056807935077</v>
      </c>
    </row>
    <row r="79" spans="2:60" x14ac:dyDescent="0.3">
      <c r="C79" s="196" t="s">
        <v>93</v>
      </c>
      <c r="E79" s="195" t="s">
        <v>94</v>
      </c>
      <c r="G79" s="195" t="s">
        <v>4</v>
      </c>
      <c r="I79" s="195" t="s">
        <v>95</v>
      </c>
      <c r="K79" s="195" t="s">
        <v>96</v>
      </c>
      <c r="M79" s="195" t="s">
        <v>7</v>
      </c>
      <c r="O79" s="195" t="s">
        <v>8</v>
      </c>
      <c r="Q79" s="195" t="s">
        <v>97</v>
      </c>
      <c r="T79" s="195" t="s">
        <v>93</v>
      </c>
      <c r="U79" s="195" t="s">
        <v>94</v>
      </c>
      <c r="V79" s="195" t="s">
        <v>4</v>
      </c>
      <c r="W79" s="195" t="s">
        <v>95</v>
      </c>
      <c r="X79" s="195" t="s">
        <v>96</v>
      </c>
      <c r="Y79" s="195" t="s">
        <v>7</v>
      </c>
      <c r="Z79" s="195" t="s">
        <v>8</v>
      </c>
      <c r="AA79" s="195" t="s">
        <v>97</v>
      </c>
      <c r="AC79" s="195" t="s">
        <v>93</v>
      </c>
      <c r="AD79" s="195" t="s">
        <v>94</v>
      </c>
      <c r="AE79" s="195" t="s">
        <v>4</v>
      </c>
      <c r="AF79" s="195" t="s">
        <v>95</v>
      </c>
      <c r="AG79" s="195" t="s">
        <v>96</v>
      </c>
      <c r="AH79" s="195" t="s">
        <v>7</v>
      </c>
      <c r="AI79" s="195" t="s">
        <v>8</v>
      </c>
      <c r="AJ79" s="195" t="s">
        <v>97</v>
      </c>
      <c r="AL79" s="195" t="s">
        <v>116</v>
      </c>
      <c r="AM79" s="195" t="s">
        <v>117</v>
      </c>
      <c r="AN79" s="195" t="s">
        <v>118</v>
      </c>
      <c r="AO79" s="195" t="s">
        <v>119</v>
      </c>
      <c r="AP79" s="195" t="s">
        <v>120</v>
      </c>
      <c r="AQ79" s="195" t="s">
        <v>121</v>
      </c>
      <c r="AR79" s="195" t="s">
        <v>122</v>
      </c>
      <c r="AS79" s="195" t="s">
        <v>123</v>
      </c>
      <c r="AT79" s="195" t="s">
        <v>124</v>
      </c>
      <c r="AU79" s="195" t="s">
        <v>125</v>
      </c>
      <c r="AV79" s="195" t="s">
        <v>126</v>
      </c>
      <c r="AW79" s="195" t="s">
        <v>127</v>
      </c>
    </row>
    <row r="80" spans="2:60" x14ac:dyDescent="0.3">
      <c r="B80" s="195" t="s">
        <v>50</v>
      </c>
      <c r="C80" s="36" t="s">
        <v>67</v>
      </c>
      <c r="D80" s="36" t="s">
        <v>28</v>
      </c>
      <c r="E80" s="36" t="s">
        <v>67</v>
      </c>
      <c r="F80" s="36" t="s">
        <v>28</v>
      </c>
      <c r="G80" s="36" t="s">
        <v>67</v>
      </c>
      <c r="H80" s="36" t="s">
        <v>28</v>
      </c>
      <c r="I80" s="36" t="s">
        <v>67</v>
      </c>
      <c r="J80" s="36" t="s">
        <v>28</v>
      </c>
      <c r="K80" s="36" t="s">
        <v>67</v>
      </c>
      <c r="L80" s="36" t="s">
        <v>28</v>
      </c>
      <c r="M80" s="36" t="s">
        <v>67</v>
      </c>
      <c r="N80" s="36" t="s">
        <v>28</v>
      </c>
      <c r="O80" s="36" t="s">
        <v>67</v>
      </c>
      <c r="P80" s="36" t="s">
        <v>28</v>
      </c>
      <c r="Q80" s="36" t="s">
        <v>67</v>
      </c>
      <c r="R80" s="36" t="s">
        <v>28</v>
      </c>
      <c r="T80" s="195" t="s">
        <v>28</v>
      </c>
      <c r="U80" s="195" t="s">
        <v>28</v>
      </c>
      <c r="V80" s="195" t="s">
        <v>28</v>
      </c>
      <c r="W80" s="195" t="s">
        <v>28</v>
      </c>
      <c r="X80" s="195" t="s">
        <v>28</v>
      </c>
      <c r="Y80" s="195" t="s">
        <v>28</v>
      </c>
      <c r="Z80" s="195" t="s">
        <v>28</v>
      </c>
      <c r="AA80" s="195" t="s">
        <v>28</v>
      </c>
      <c r="AC80" s="195" t="s">
        <v>28</v>
      </c>
      <c r="AD80" s="195" t="s">
        <v>28</v>
      </c>
      <c r="AE80" s="195" t="s">
        <v>28</v>
      </c>
      <c r="AF80" s="195" t="s">
        <v>28</v>
      </c>
      <c r="AG80" s="195" t="s">
        <v>28</v>
      </c>
      <c r="AH80" s="195" t="s">
        <v>28</v>
      </c>
      <c r="AI80" s="195" t="s">
        <v>28</v>
      </c>
      <c r="AJ80" s="195" t="s">
        <v>28</v>
      </c>
    </row>
    <row r="81" spans="2:49" x14ac:dyDescent="0.3">
      <c r="B81" s="195" t="s">
        <v>49</v>
      </c>
      <c r="C81" s="144">
        <f>C56+E56+G56</f>
        <v>237</v>
      </c>
      <c r="D81" s="36">
        <v>100</v>
      </c>
      <c r="E81" s="144">
        <f>I56</f>
        <v>272</v>
      </c>
      <c r="F81" s="195">
        <v>100</v>
      </c>
      <c r="G81" s="144">
        <f>K56</f>
        <v>286</v>
      </c>
      <c r="H81" s="195">
        <v>100</v>
      </c>
      <c r="I81" s="144">
        <f>M56</f>
        <v>253</v>
      </c>
      <c r="J81" s="195">
        <v>100</v>
      </c>
      <c r="K81" s="144">
        <f>O56</f>
        <v>184</v>
      </c>
      <c r="L81" s="195">
        <v>100</v>
      </c>
      <c r="M81" s="144">
        <f>Q56</f>
        <v>281</v>
      </c>
      <c r="N81" s="195">
        <v>100</v>
      </c>
      <c r="O81" s="144">
        <f>S56</f>
        <v>295</v>
      </c>
      <c r="P81" s="195">
        <v>100</v>
      </c>
      <c r="Q81" s="144">
        <f>U56+W56+Y56</f>
        <v>410</v>
      </c>
      <c r="R81" s="201">
        <v>100</v>
      </c>
      <c r="T81" s="144">
        <f>D81</f>
        <v>100</v>
      </c>
      <c r="U81" s="144">
        <f>F81</f>
        <v>100</v>
      </c>
      <c r="V81" s="144">
        <f>H81</f>
        <v>100</v>
      </c>
      <c r="W81" s="144">
        <f>J81</f>
        <v>100</v>
      </c>
      <c r="X81" s="144">
        <f>L81</f>
        <v>100</v>
      </c>
      <c r="Y81" s="144">
        <f>N81</f>
        <v>100</v>
      </c>
      <c r="Z81" s="144">
        <f>P81</f>
        <v>100</v>
      </c>
      <c r="AA81" s="144">
        <f>R81</f>
        <v>100</v>
      </c>
      <c r="AC81" s="12">
        <f>T81/100</f>
        <v>1</v>
      </c>
      <c r="AD81" s="12">
        <f t="shared" ref="AD81:AJ81" si="66">U81/100</f>
        <v>1</v>
      </c>
      <c r="AE81" s="12">
        <f t="shared" si="66"/>
        <v>1</v>
      </c>
      <c r="AF81" s="12">
        <f t="shared" si="66"/>
        <v>1</v>
      </c>
      <c r="AG81" s="12">
        <f t="shared" si="66"/>
        <v>1</v>
      </c>
      <c r="AH81" s="12">
        <f t="shared" si="66"/>
        <v>1</v>
      </c>
      <c r="AI81" s="12">
        <f t="shared" si="66"/>
        <v>1</v>
      </c>
      <c r="AJ81" s="12">
        <f t="shared" si="66"/>
        <v>1</v>
      </c>
      <c r="AL81" s="13">
        <f>AC81</f>
        <v>1</v>
      </c>
      <c r="AM81" s="13">
        <f>AC81</f>
        <v>1</v>
      </c>
      <c r="AN81" s="13">
        <f>AC81</f>
        <v>1</v>
      </c>
      <c r="AO81" s="13">
        <f t="shared" ref="AO81:AO101" si="67">AD81</f>
        <v>1</v>
      </c>
      <c r="AP81" s="13">
        <f t="shared" ref="AP81:AP101" si="68">AE81</f>
        <v>1</v>
      </c>
      <c r="AQ81" s="13">
        <f t="shared" ref="AQ81:AQ101" si="69">AF81</f>
        <v>1</v>
      </c>
      <c r="AR81" s="13">
        <f t="shared" ref="AR81:AR101" si="70">AG81</f>
        <v>1</v>
      </c>
      <c r="AS81" s="13">
        <f t="shared" ref="AS81:AS101" si="71">AH81</f>
        <v>1</v>
      </c>
      <c r="AT81" s="13">
        <f t="shared" ref="AT81:AT101" si="72">AI81</f>
        <v>1</v>
      </c>
      <c r="AU81" s="13">
        <f>AJ81</f>
        <v>1</v>
      </c>
      <c r="AV81" s="13">
        <f>AJ81</f>
        <v>1</v>
      </c>
      <c r="AW81" s="13">
        <f>AJ81</f>
        <v>1</v>
      </c>
    </row>
    <row r="82" spans="2:49" x14ac:dyDescent="0.3">
      <c r="B82" s="195">
        <v>20</v>
      </c>
      <c r="C82" s="144">
        <f>C57+E57+G57</f>
        <v>0</v>
      </c>
      <c r="D82" s="195">
        <f>(C82/C$81)*100</f>
        <v>0</v>
      </c>
      <c r="E82" s="144">
        <f t="shared" ref="E82:E101" si="73">I57</f>
        <v>0</v>
      </c>
      <c r="F82" s="195">
        <f>(E82/E$81)*100</f>
        <v>0</v>
      </c>
      <c r="G82" s="144">
        <f t="shared" ref="G82:G101" si="74">K57</f>
        <v>0</v>
      </c>
      <c r="H82" s="195">
        <f t="shared" ref="H82:H101" si="75">(G82/G$81)*100</f>
        <v>0</v>
      </c>
      <c r="I82" s="144">
        <f t="shared" ref="I82:I101" si="76">M57</f>
        <v>0</v>
      </c>
      <c r="J82" s="195">
        <f t="shared" ref="J82:J101" si="77">(I82/I$81)*100</f>
        <v>0</v>
      </c>
      <c r="K82" s="144">
        <f t="shared" ref="K82:K101" si="78">O57</f>
        <v>0</v>
      </c>
      <c r="L82" s="195">
        <f t="shared" ref="L82:L101" si="79">(K82/K$81)*100</f>
        <v>0</v>
      </c>
      <c r="M82" s="144">
        <f t="shared" ref="M82:M101" si="80">Q57</f>
        <v>0</v>
      </c>
      <c r="N82" s="195">
        <f t="shared" ref="N82:N101" si="81">(M82/M$81)*100</f>
        <v>0</v>
      </c>
      <c r="O82" s="144">
        <f t="shared" ref="O82:O101" si="82">S57</f>
        <v>0</v>
      </c>
      <c r="P82" s="195">
        <f t="shared" ref="P82:P101" si="83">(O82/O$81)*100</f>
        <v>0</v>
      </c>
      <c r="Q82" s="144">
        <f t="shared" ref="Q82:Q101" si="84">U57+W57+Y57</f>
        <v>0</v>
      </c>
      <c r="R82" s="195">
        <f t="shared" ref="R82:R101" si="85">(Q82/Q$81)*100</f>
        <v>0</v>
      </c>
      <c r="T82" s="144">
        <f t="shared" ref="T82:T101" si="86">D82</f>
        <v>0</v>
      </c>
      <c r="U82" s="144">
        <f t="shared" ref="U82:U101" si="87">F82</f>
        <v>0</v>
      </c>
      <c r="V82" s="144">
        <f t="shared" ref="V82:V101" si="88">H82</f>
        <v>0</v>
      </c>
      <c r="W82" s="144">
        <f t="shared" ref="W82:W101" si="89">J82</f>
        <v>0</v>
      </c>
      <c r="X82" s="144">
        <f t="shared" ref="X82:X101" si="90">L82</f>
        <v>0</v>
      </c>
      <c r="Y82" s="144">
        <f t="shared" ref="Y82:Y101" si="91">N82</f>
        <v>0</v>
      </c>
      <c r="Z82" s="144">
        <f t="shared" ref="Z82:Z101" si="92">P82</f>
        <v>0</v>
      </c>
      <c r="AA82" s="144">
        <f t="shared" ref="AA82:AA101" si="93">R82</f>
        <v>0</v>
      </c>
      <c r="AC82" s="12">
        <f t="shared" ref="AC82:AC101" si="94">T82/100</f>
        <v>0</v>
      </c>
      <c r="AD82" s="12">
        <f t="shared" ref="AD82:AD101" si="95">U82/100</f>
        <v>0</v>
      </c>
      <c r="AE82" s="12">
        <f t="shared" ref="AE82:AE101" si="96">V82/100</f>
        <v>0</v>
      </c>
      <c r="AF82" s="12">
        <f t="shared" ref="AF82:AF101" si="97">W82/100</f>
        <v>0</v>
      </c>
      <c r="AG82" s="12">
        <f t="shared" ref="AG82:AG101" si="98">X82/100</f>
        <v>0</v>
      </c>
      <c r="AH82" s="12">
        <f t="shared" ref="AH82:AH101" si="99">Y82/100</f>
        <v>0</v>
      </c>
      <c r="AI82" s="12">
        <f t="shared" ref="AI82:AI101" si="100">Z82/100</f>
        <v>0</v>
      </c>
      <c r="AJ82" s="12">
        <f t="shared" ref="AJ82:AJ101" si="101">AA82/100</f>
        <v>0</v>
      </c>
      <c r="AL82" s="13">
        <f t="shared" ref="AL82:AL101" si="102">AC82</f>
        <v>0</v>
      </c>
      <c r="AM82" s="13">
        <f t="shared" ref="AM82:AM101" si="103">AC82</f>
        <v>0</v>
      </c>
      <c r="AN82" s="13">
        <f t="shared" ref="AN82:AN101" si="104">AC82</f>
        <v>0</v>
      </c>
      <c r="AO82" s="13">
        <f t="shared" si="67"/>
        <v>0</v>
      </c>
      <c r="AP82" s="13">
        <f t="shared" si="68"/>
        <v>0</v>
      </c>
      <c r="AQ82" s="13">
        <f t="shared" si="69"/>
        <v>0</v>
      </c>
      <c r="AR82" s="13">
        <f t="shared" si="70"/>
        <v>0</v>
      </c>
      <c r="AS82" s="13">
        <f t="shared" si="71"/>
        <v>0</v>
      </c>
      <c r="AT82" s="13">
        <f t="shared" si="72"/>
        <v>0</v>
      </c>
      <c r="AU82" s="13">
        <f t="shared" ref="AU82:AU101" si="105">AJ82</f>
        <v>0</v>
      </c>
      <c r="AV82" s="13">
        <f t="shared" ref="AV82:AV101" si="106">AJ82</f>
        <v>0</v>
      </c>
      <c r="AW82" s="13">
        <f t="shared" ref="AW82:AW101" si="107">AJ82</f>
        <v>0</v>
      </c>
    </row>
    <row r="83" spans="2:49" x14ac:dyDescent="0.3">
      <c r="B83" s="195">
        <v>19</v>
      </c>
      <c r="C83" s="144">
        <f t="shared" ref="C83:C101" si="108">C58+E58+G58</f>
        <v>0</v>
      </c>
      <c r="D83" s="195">
        <f t="shared" ref="D83:F101" si="109">(C83/C$81)*100</f>
        <v>0</v>
      </c>
      <c r="E83" s="144">
        <f t="shared" si="73"/>
        <v>0</v>
      </c>
      <c r="F83" s="195">
        <f t="shared" si="109"/>
        <v>0</v>
      </c>
      <c r="G83" s="144">
        <f t="shared" si="74"/>
        <v>0</v>
      </c>
      <c r="H83" s="195">
        <f t="shared" si="75"/>
        <v>0</v>
      </c>
      <c r="I83" s="144">
        <f t="shared" si="76"/>
        <v>0</v>
      </c>
      <c r="J83" s="195">
        <f t="shared" si="77"/>
        <v>0</v>
      </c>
      <c r="K83" s="144">
        <f t="shared" si="78"/>
        <v>0</v>
      </c>
      <c r="L83" s="195">
        <f t="shared" si="79"/>
        <v>0</v>
      </c>
      <c r="M83" s="144">
        <f t="shared" si="80"/>
        <v>0</v>
      </c>
      <c r="N83" s="195">
        <f t="shared" si="81"/>
        <v>0</v>
      </c>
      <c r="O83" s="144">
        <f t="shared" si="82"/>
        <v>0</v>
      </c>
      <c r="P83" s="195">
        <f t="shared" si="83"/>
        <v>0</v>
      </c>
      <c r="Q83" s="144">
        <f t="shared" si="84"/>
        <v>0</v>
      </c>
      <c r="R83" s="195">
        <f t="shared" si="85"/>
        <v>0</v>
      </c>
      <c r="T83" s="144">
        <f t="shared" si="86"/>
        <v>0</v>
      </c>
      <c r="U83" s="144">
        <f t="shared" si="87"/>
        <v>0</v>
      </c>
      <c r="V83" s="144">
        <f t="shared" si="88"/>
        <v>0</v>
      </c>
      <c r="W83" s="144">
        <f t="shared" si="89"/>
        <v>0</v>
      </c>
      <c r="X83" s="144">
        <f t="shared" si="90"/>
        <v>0</v>
      </c>
      <c r="Y83" s="144">
        <f t="shared" si="91"/>
        <v>0</v>
      </c>
      <c r="Z83" s="144">
        <f t="shared" si="92"/>
        <v>0</v>
      </c>
      <c r="AA83" s="144">
        <f t="shared" si="93"/>
        <v>0</v>
      </c>
      <c r="AC83" s="12">
        <f t="shared" si="94"/>
        <v>0</v>
      </c>
      <c r="AD83" s="12">
        <f t="shared" si="95"/>
        <v>0</v>
      </c>
      <c r="AE83" s="12">
        <f t="shared" si="96"/>
        <v>0</v>
      </c>
      <c r="AF83" s="12">
        <f t="shared" si="97"/>
        <v>0</v>
      </c>
      <c r="AG83" s="12">
        <f t="shared" si="98"/>
        <v>0</v>
      </c>
      <c r="AH83" s="12">
        <f t="shared" si="99"/>
        <v>0</v>
      </c>
      <c r="AI83" s="12">
        <f t="shared" si="100"/>
        <v>0</v>
      </c>
      <c r="AJ83" s="12">
        <f t="shared" si="101"/>
        <v>0</v>
      </c>
      <c r="AL83" s="13">
        <f t="shared" si="102"/>
        <v>0</v>
      </c>
      <c r="AM83" s="13">
        <f t="shared" si="103"/>
        <v>0</v>
      </c>
      <c r="AN83" s="13">
        <f t="shared" si="104"/>
        <v>0</v>
      </c>
      <c r="AO83" s="13">
        <f t="shared" si="67"/>
        <v>0</v>
      </c>
      <c r="AP83" s="13">
        <f t="shared" si="68"/>
        <v>0</v>
      </c>
      <c r="AQ83" s="13">
        <f t="shared" si="69"/>
        <v>0</v>
      </c>
      <c r="AR83" s="13">
        <f t="shared" si="70"/>
        <v>0</v>
      </c>
      <c r="AS83" s="13">
        <f t="shared" si="71"/>
        <v>0</v>
      </c>
      <c r="AT83" s="13">
        <f t="shared" si="72"/>
        <v>0</v>
      </c>
      <c r="AU83" s="13">
        <f t="shared" si="105"/>
        <v>0</v>
      </c>
      <c r="AV83" s="13">
        <f t="shared" si="106"/>
        <v>0</v>
      </c>
      <c r="AW83" s="13">
        <f t="shared" si="107"/>
        <v>0</v>
      </c>
    </row>
    <row r="84" spans="2:49" x14ac:dyDescent="0.3">
      <c r="B84" s="195">
        <v>18</v>
      </c>
      <c r="C84" s="144">
        <f t="shared" si="108"/>
        <v>0</v>
      </c>
      <c r="D84" s="195">
        <f t="shared" si="109"/>
        <v>0</v>
      </c>
      <c r="E84" s="144">
        <f t="shared" si="73"/>
        <v>0</v>
      </c>
      <c r="F84" s="195">
        <f t="shared" si="109"/>
        <v>0</v>
      </c>
      <c r="G84" s="144">
        <f t="shared" si="74"/>
        <v>0</v>
      </c>
      <c r="H84" s="195">
        <f t="shared" si="75"/>
        <v>0</v>
      </c>
      <c r="I84" s="144">
        <f t="shared" si="76"/>
        <v>0</v>
      </c>
      <c r="J84" s="195">
        <f t="shared" si="77"/>
        <v>0</v>
      </c>
      <c r="K84" s="144">
        <f t="shared" si="78"/>
        <v>0</v>
      </c>
      <c r="L84" s="195">
        <f t="shared" si="79"/>
        <v>0</v>
      </c>
      <c r="M84" s="144">
        <f t="shared" si="80"/>
        <v>0</v>
      </c>
      <c r="N84" s="195">
        <f t="shared" si="81"/>
        <v>0</v>
      </c>
      <c r="O84" s="144">
        <f t="shared" si="82"/>
        <v>0</v>
      </c>
      <c r="P84" s="195">
        <f t="shared" si="83"/>
        <v>0</v>
      </c>
      <c r="Q84" s="144">
        <f t="shared" si="84"/>
        <v>0</v>
      </c>
      <c r="R84" s="195">
        <f t="shared" si="85"/>
        <v>0</v>
      </c>
      <c r="T84" s="144">
        <f t="shared" si="86"/>
        <v>0</v>
      </c>
      <c r="U84" s="144">
        <f t="shared" si="87"/>
        <v>0</v>
      </c>
      <c r="V84" s="144">
        <f t="shared" si="88"/>
        <v>0</v>
      </c>
      <c r="W84" s="144">
        <f t="shared" si="89"/>
        <v>0</v>
      </c>
      <c r="X84" s="144">
        <f t="shared" si="90"/>
        <v>0</v>
      </c>
      <c r="Y84" s="144">
        <f t="shared" si="91"/>
        <v>0</v>
      </c>
      <c r="Z84" s="144">
        <f t="shared" si="92"/>
        <v>0</v>
      </c>
      <c r="AA84" s="144">
        <f t="shared" si="93"/>
        <v>0</v>
      </c>
      <c r="AC84" s="12">
        <f t="shared" si="94"/>
        <v>0</v>
      </c>
      <c r="AD84" s="12">
        <f t="shared" si="95"/>
        <v>0</v>
      </c>
      <c r="AE84" s="12">
        <f t="shared" si="96"/>
        <v>0</v>
      </c>
      <c r="AF84" s="12">
        <f t="shared" si="97"/>
        <v>0</v>
      </c>
      <c r="AG84" s="12">
        <f t="shared" si="98"/>
        <v>0</v>
      </c>
      <c r="AH84" s="12">
        <f t="shared" si="99"/>
        <v>0</v>
      </c>
      <c r="AI84" s="12">
        <f t="shared" si="100"/>
        <v>0</v>
      </c>
      <c r="AJ84" s="12">
        <f t="shared" si="101"/>
        <v>0</v>
      </c>
      <c r="AL84" s="13">
        <f t="shared" si="102"/>
        <v>0</v>
      </c>
      <c r="AM84" s="13">
        <f t="shared" si="103"/>
        <v>0</v>
      </c>
      <c r="AN84" s="13">
        <f t="shared" si="104"/>
        <v>0</v>
      </c>
      <c r="AO84" s="13">
        <f t="shared" si="67"/>
        <v>0</v>
      </c>
      <c r="AP84" s="13">
        <f t="shared" si="68"/>
        <v>0</v>
      </c>
      <c r="AQ84" s="13">
        <f t="shared" si="69"/>
        <v>0</v>
      </c>
      <c r="AR84" s="13">
        <f t="shared" si="70"/>
        <v>0</v>
      </c>
      <c r="AS84" s="13">
        <f t="shared" si="71"/>
        <v>0</v>
      </c>
      <c r="AT84" s="13">
        <f t="shared" si="72"/>
        <v>0</v>
      </c>
      <c r="AU84" s="13">
        <f t="shared" si="105"/>
        <v>0</v>
      </c>
      <c r="AV84" s="13">
        <f t="shared" si="106"/>
        <v>0</v>
      </c>
      <c r="AW84" s="13">
        <f t="shared" si="107"/>
        <v>0</v>
      </c>
    </row>
    <row r="85" spans="2:49" x14ac:dyDescent="0.3">
      <c r="B85" s="195">
        <v>17</v>
      </c>
      <c r="C85" s="144">
        <f t="shared" si="108"/>
        <v>0</v>
      </c>
      <c r="D85" s="195">
        <f t="shared" si="109"/>
        <v>0</v>
      </c>
      <c r="E85" s="144">
        <f t="shared" si="73"/>
        <v>0</v>
      </c>
      <c r="F85" s="195">
        <f t="shared" si="109"/>
        <v>0</v>
      </c>
      <c r="G85" s="144">
        <f t="shared" si="74"/>
        <v>0</v>
      </c>
      <c r="H85" s="195">
        <f t="shared" si="75"/>
        <v>0</v>
      </c>
      <c r="I85" s="144">
        <f t="shared" si="76"/>
        <v>0</v>
      </c>
      <c r="J85" s="195">
        <f t="shared" si="77"/>
        <v>0</v>
      </c>
      <c r="K85" s="144">
        <f t="shared" si="78"/>
        <v>0</v>
      </c>
      <c r="L85" s="195">
        <f t="shared" si="79"/>
        <v>0</v>
      </c>
      <c r="M85" s="144">
        <f t="shared" si="80"/>
        <v>0</v>
      </c>
      <c r="N85" s="195">
        <f t="shared" si="81"/>
        <v>0</v>
      </c>
      <c r="O85" s="144">
        <f t="shared" si="82"/>
        <v>0</v>
      </c>
      <c r="P85" s="195">
        <f t="shared" si="83"/>
        <v>0</v>
      </c>
      <c r="Q85" s="144">
        <f t="shared" si="84"/>
        <v>0</v>
      </c>
      <c r="R85" s="195">
        <f t="shared" si="85"/>
        <v>0</v>
      </c>
      <c r="T85" s="144">
        <f t="shared" si="86"/>
        <v>0</v>
      </c>
      <c r="U85" s="144">
        <f t="shared" si="87"/>
        <v>0</v>
      </c>
      <c r="V85" s="144">
        <f t="shared" si="88"/>
        <v>0</v>
      </c>
      <c r="W85" s="144">
        <f t="shared" si="89"/>
        <v>0</v>
      </c>
      <c r="X85" s="144">
        <f t="shared" si="90"/>
        <v>0</v>
      </c>
      <c r="Y85" s="144">
        <f t="shared" si="91"/>
        <v>0</v>
      </c>
      <c r="Z85" s="144">
        <f t="shared" si="92"/>
        <v>0</v>
      </c>
      <c r="AA85" s="144">
        <f t="shared" si="93"/>
        <v>0</v>
      </c>
      <c r="AC85" s="12">
        <f t="shared" si="94"/>
        <v>0</v>
      </c>
      <c r="AD85" s="12">
        <f t="shared" si="95"/>
        <v>0</v>
      </c>
      <c r="AE85" s="12">
        <f t="shared" si="96"/>
        <v>0</v>
      </c>
      <c r="AF85" s="12">
        <f t="shared" si="97"/>
        <v>0</v>
      </c>
      <c r="AG85" s="12">
        <f t="shared" si="98"/>
        <v>0</v>
      </c>
      <c r="AH85" s="12">
        <f t="shared" si="99"/>
        <v>0</v>
      </c>
      <c r="AI85" s="12">
        <f t="shared" si="100"/>
        <v>0</v>
      </c>
      <c r="AJ85" s="12">
        <f t="shared" si="101"/>
        <v>0</v>
      </c>
      <c r="AL85" s="13">
        <f t="shared" si="102"/>
        <v>0</v>
      </c>
      <c r="AM85" s="13">
        <f t="shared" si="103"/>
        <v>0</v>
      </c>
      <c r="AN85" s="13">
        <f t="shared" si="104"/>
        <v>0</v>
      </c>
      <c r="AO85" s="13">
        <f t="shared" si="67"/>
        <v>0</v>
      </c>
      <c r="AP85" s="13">
        <f t="shared" si="68"/>
        <v>0</v>
      </c>
      <c r="AQ85" s="13">
        <f t="shared" si="69"/>
        <v>0</v>
      </c>
      <c r="AR85" s="13">
        <f t="shared" si="70"/>
        <v>0</v>
      </c>
      <c r="AS85" s="13">
        <f t="shared" si="71"/>
        <v>0</v>
      </c>
      <c r="AT85" s="13">
        <f t="shared" si="72"/>
        <v>0</v>
      </c>
      <c r="AU85" s="13">
        <f t="shared" si="105"/>
        <v>0</v>
      </c>
      <c r="AV85" s="13">
        <f t="shared" si="106"/>
        <v>0</v>
      </c>
      <c r="AW85" s="13">
        <f t="shared" si="107"/>
        <v>0</v>
      </c>
    </row>
    <row r="86" spans="2:49" x14ac:dyDescent="0.3">
      <c r="B86" s="195">
        <v>16</v>
      </c>
      <c r="C86" s="144">
        <f t="shared" si="108"/>
        <v>0</v>
      </c>
      <c r="D86" s="195">
        <f t="shared" si="109"/>
        <v>0</v>
      </c>
      <c r="E86" s="144">
        <f t="shared" si="73"/>
        <v>0</v>
      </c>
      <c r="F86" s="195">
        <f t="shared" si="109"/>
        <v>0</v>
      </c>
      <c r="G86" s="144">
        <f t="shared" si="74"/>
        <v>0</v>
      </c>
      <c r="H86" s="195">
        <f t="shared" si="75"/>
        <v>0</v>
      </c>
      <c r="I86" s="144">
        <f t="shared" si="76"/>
        <v>0</v>
      </c>
      <c r="J86" s="195">
        <f t="shared" si="77"/>
        <v>0</v>
      </c>
      <c r="K86" s="144">
        <f t="shared" si="78"/>
        <v>0</v>
      </c>
      <c r="L86" s="195">
        <f t="shared" si="79"/>
        <v>0</v>
      </c>
      <c r="M86" s="144">
        <f t="shared" si="80"/>
        <v>0</v>
      </c>
      <c r="N86" s="195">
        <f t="shared" si="81"/>
        <v>0</v>
      </c>
      <c r="O86" s="144">
        <f t="shared" si="82"/>
        <v>0</v>
      </c>
      <c r="P86" s="195">
        <f t="shared" si="83"/>
        <v>0</v>
      </c>
      <c r="Q86" s="144">
        <f t="shared" si="84"/>
        <v>0</v>
      </c>
      <c r="R86" s="195">
        <f t="shared" si="85"/>
        <v>0</v>
      </c>
      <c r="T86" s="144">
        <f t="shared" si="86"/>
        <v>0</v>
      </c>
      <c r="U86" s="144">
        <f t="shared" si="87"/>
        <v>0</v>
      </c>
      <c r="V86" s="144">
        <f t="shared" si="88"/>
        <v>0</v>
      </c>
      <c r="W86" s="144">
        <f t="shared" si="89"/>
        <v>0</v>
      </c>
      <c r="X86" s="144">
        <f t="shared" si="90"/>
        <v>0</v>
      </c>
      <c r="Y86" s="144">
        <f t="shared" si="91"/>
        <v>0</v>
      </c>
      <c r="Z86" s="144">
        <f t="shared" si="92"/>
        <v>0</v>
      </c>
      <c r="AA86" s="144">
        <f t="shared" si="93"/>
        <v>0</v>
      </c>
      <c r="AC86" s="12">
        <f t="shared" si="94"/>
        <v>0</v>
      </c>
      <c r="AD86" s="12">
        <f t="shared" si="95"/>
        <v>0</v>
      </c>
      <c r="AE86" s="12">
        <f t="shared" si="96"/>
        <v>0</v>
      </c>
      <c r="AF86" s="12">
        <f t="shared" si="97"/>
        <v>0</v>
      </c>
      <c r="AG86" s="12">
        <f t="shared" si="98"/>
        <v>0</v>
      </c>
      <c r="AH86" s="12">
        <f t="shared" si="99"/>
        <v>0</v>
      </c>
      <c r="AI86" s="12">
        <f t="shared" si="100"/>
        <v>0</v>
      </c>
      <c r="AJ86" s="12">
        <f t="shared" si="101"/>
        <v>0</v>
      </c>
      <c r="AL86" s="13">
        <f t="shared" si="102"/>
        <v>0</v>
      </c>
      <c r="AM86" s="13">
        <f t="shared" si="103"/>
        <v>0</v>
      </c>
      <c r="AN86" s="13">
        <f t="shared" si="104"/>
        <v>0</v>
      </c>
      <c r="AO86" s="13">
        <f t="shared" si="67"/>
        <v>0</v>
      </c>
      <c r="AP86" s="13">
        <f t="shared" si="68"/>
        <v>0</v>
      </c>
      <c r="AQ86" s="13">
        <f t="shared" si="69"/>
        <v>0</v>
      </c>
      <c r="AR86" s="13">
        <f t="shared" si="70"/>
        <v>0</v>
      </c>
      <c r="AS86" s="13">
        <f t="shared" si="71"/>
        <v>0</v>
      </c>
      <c r="AT86" s="13">
        <f t="shared" si="72"/>
        <v>0</v>
      </c>
      <c r="AU86" s="13">
        <f t="shared" si="105"/>
        <v>0</v>
      </c>
      <c r="AV86" s="13">
        <f t="shared" si="106"/>
        <v>0</v>
      </c>
      <c r="AW86" s="13">
        <f t="shared" si="107"/>
        <v>0</v>
      </c>
    </row>
    <row r="87" spans="2:49" x14ac:dyDescent="0.3">
      <c r="B87" s="195">
        <v>15</v>
      </c>
      <c r="C87" s="144">
        <f t="shared" si="108"/>
        <v>0</v>
      </c>
      <c r="D87" s="195">
        <f t="shared" si="109"/>
        <v>0</v>
      </c>
      <c r="E87" s="144">
        <f t="shared" si="73"/>
        <v>0</v>
      </c>
      <c r="F87" s="195">
        <f t="shared" si="109"/>
        <v>0</v>
      </c>
      <c r="G87" s="144">
        <f t="shared" si="74"/>
        <v>0</v>
      </c>
      <c r="H87" s="195">
        <f t="shared" si="75"/>
        <v>0</v>
      </c>
      <c r="I87" s="144">
        <f t="shared" si="76"/>
        <v>0</v>
      </c>
      <c r="J87" s="195">
        <f t="shared" si="77"/>
        <v>0</v>
      </c>
      <c r="K87" s="144">
        <f t="shared" si="78"/>
        <v>0</v>
      </c>
      <c r="L87" s="195">
        <f t="shared" si="79"/>
        <v>0</v>
      </c>
      <c r="M87" s="144">
        <f t="shared" si="80"/>
        <v>0</v>
      </c>
      <c r="N87" s="195">
        <f t="shared" si="81"/>
        <v>0</v>
      </c>
      <c r="O87" s="144">
        <f t="shared" si="82"/>
        <v>0</v>
      </c>
      <c r="P87" s="195">
        <f t="shared" si="83"/>
        <v>0</v>
      </c>
      <c r="Q87" s="144">
        <f t="shared" si="84"/>
        <v>0</v>
      </c>
      <c r="R87" s="195">
        <f t="shared" si="85"/>
        <v>0</v>
      </c>
      <c r="T87" s="144">
        <f t="shared" si="86"/>
        <v>0</v>
      </c>
      <c r="U87" s="144">
        <f t="shared" si="87"/>
        <v>0</v>
      </c>
      <c r="V87" s="144">
        <f t="shared" si="88"/>
        <v>0</v>
      </c>
      <c r="W87" s="144">
        <f t="shared" si="89"/>
        <v>0</v>
      </c>
      <c r="X87" s="144">
        <f t="shared" si="90"/>
        <v>0</v>
      </c>
      <c r="Y87" s="144">
        <f t="shared" si="91"/>
        <v>0</v>
      </c>
      <c r="Z87" s="144">
        <f t="shared" si="92"/>
        <v>0</v>
      </c>
      <c r="AA87" s="144">
        <f t="shared" si="93"/>
        <v>0</v>
      </c>
      <c r="AC87" s="12">
        <f t="shared" si="94"/>
        <v>0</v>
      </c>
      <c r="AD87" s="12">
        <f t="shared" si="95"/>
        <v>0</v>
      </c>
      <c r="AE87" s="12">
        <f t="shared" si="96"/>
        <v>0</v>
      </c>
      <c r="AF87" s="12">
        <f t="shared" si="97"/>
        <v>0</v>
      </c>
      <c r="AG87" s="12">
        <f t="shared" si="98"/>
        <v>0</v>
      </c>
      <c r="AH87" s="12">
        <f t="shared" si="99"/>
        <v>0</v>
      </c>
      <c r="AI87" s="12">
        <f t="shared" si="100"/>
        <v>0</v>
      </c>
      <c r="AJ87" s="12">
        <f t="shared" si="101"/>
        <v>0</v>
      </c>
      <c r="AL87" s="13">
        <f t="shared" si="102"/>
        <v>0</v>
      </c>
      <c r="AM87" s="13">
        <f t="shared" si="103"/>
        <v>0</v>
      </c>
      <c r="AN87" s="13">
        <f t="shared" si="104"/>
        <v>0</v>
      </c>
      <c r="AO87" s="13">
        <f t="shared" si="67"/>
        <v>0</v>
      </c>
      <c r="AP87" s="13">
        <f t="shared" si="68"/>
        <v>0</v>
      </c>
      <c r="AQ87" s="13">
        <f t="shared" si="69"/>
        <v>0</v>
      </c>
      <c r="AR87" s="13">
        <f t="shared" si="70"/>
        <v>0</v>
      </c>
      <c r="AS87" s="13">
        <f t="shared" si="71"/>
        <v>0</v>
      </c>
      <c r="AT87" s="13">
        <f t="shared" si="72"/>
        <v>0</v>
      </c>
      <c r="AU87" s="13">
        <f t="shared" si="105"/>
        <v>0</v>
      </c>
      <c r="AV87" s="13">
        <f t="shared" si="106"/>
        <v>0</v>
      </c>
      <c r="AW87" s="13">
        <f t="shared" si="107"/>
        <v>0</v>
      </c>
    </row>
    <row r="88" spans="2:49" x14ac:dyDescent="0.3">
      <c r="B88" s="195">
        <v>14</v>
      </c>
      <c r="C88" s="144">
        <f t="shared" si="108"/>
        <v>0</v>
      </c>
      <c r="D88" s="195">
        <f t="shared" si="109"/>
        <v>0</v>
      </c>
      <c r="E88" s="144">
        <f t="shared" si="73"/>
        <v>0</v>
      </c>
      <c r="F88" s="195">
        <f t="shared" si="109"/>
        <v>0</v>
      </c>
      <c r="G88" s="144">
        <f t="shared" si="74"/>
        <v>0</v>
      </c>
      <c r="H88" s="195">
        <f t="shared" si="75"/>
        <v>0</v>
      </c>
      <c r="I88" s="144">
        <f t="shared" si="76"/>
        <v>0</v>
      </c>
      <c r="J88" s="195">
        <f t="shared" si="77"/>
        <v>0</v>
      </c>
      <c r="K88" s="144">
        <f t="shared" si="78"/>
        <v>0</v>
      </c>
      <c r="L88" s="195">
        <f t="shared" si="79"/>
        <v>0</v>
      </c>
      <c r="M88" s="144">
        <f t="shared" si="80"/>
        <v>0</v>
      </c>
      <c r="N88" s="195">
        <f t="shared" si="81"/>
        <v>0</v>
      </c>
      <c r="O88" s="144">
        <f t="shared" si="82"/>
        <v>0</v>
      </c>
      <c r="P88" s="195">
        <f t="shared" si="83"/>
        <v>0</v>
      </c>
      <c r="Q88" s="144">
        <f t="shared" si="84"/>
        <v>0</v>
      </c>
      <c r="R88" s="195">
        <f t="shared" si="85"/>
        <v>0</v>
      </c>
      <c r="T88" s="144">
        <f t="shared" si="86"/>
        <v>0</v>
      </c>
      <c r="U88" s="144">
        <f t="shared" si="87"/>
        <v>0</v>
      </c>
      <c r="V88" s="144">
        <f t="shared" si="88"/>
        <v>0</v>
      </c>
      <c r="W88" s="144">
        <f t="shared" si="89"/>
        <v>0</v>
      </c>
      <c r="X88" s="144">
        <f t="shared" si="90"/>
        <v>0</v>
      </c>
      <c r="Y88" s="144">
        <f t="shared" si="91"/>
        <v>0</v>
      </c>
      <c r="Z88" s="144">
        <f t="shared" si="92"/>
        <v>0</v>
      </c>
      <c r="AA88" s="144">
        <f t="shared" si="93"/>
        <v>0</v>
      </c>
      <c r="AC88" s="12">
        <f t="shared" si="94"/>
        <v>0</v>
      </c>
      <c r="AD88" s="12">
        <f t="shared" si="95"/>
        <v>0</v>
      </c>
      <c r="AE88" s="12">
        <f t="shared" si="96"/>
        <v>0</v>
      </c>
      <c r="AF88" s="12">
        <f t="shared" si="97"/>
        <v>0</v>
      </c>
      <c r="AG88" s="12">
        <f t="shared" si="98"/>
        <v>0</v>
      </c>
      <c r="AH88" s="12">
        <f t="shared" si="99"/>
        <v>0</v>
      </c>
      <c r="AI88" s="12">
        <f t="shared" si="100"/>
        <v>0</v>
      </c>
      <c r="AJ88" s="12">
        <f t="shared" si="101"/>
        <v>0</v>
      </c>
      <c r="AL88" s="13">
        <f t="shared" si="102"/>
        <v>0</v>
      </c>
      <c r="AM88" s="13">
        <f t="shared" si="103"/>
        <v>0</v>
      </c>
      <c r="AN88" s="13">
        <f t="shared" si="104"/>
        <v>0</v>
      </c>
      <c r="AO88" s="13">
        <f t="shared" si="67"/>
        <v>0</v>
      </c>
      <c r="AP88" s="13">
        <f t="shared" si="68"/>
        <v>0</v>
      </c>
      <c r="AQ88" s="13">
        <f t="shared" si="69"/>
        <v>0</v>
      </c>
      <c r="AR88" s="13">
        <f t="shared" si="70"/>
        <v>0</v>
      </c>
      <c r="AS88" s="13">
        <f t="shared" si="71"/>
        <v>0</v>
      </c>
      <c r="AT88" s="13">
        <f t="shared" si="72"/>
        <v>0</v>
      </c>
      <c r="AU88" s="13">
        <f t="shared" si="105"/>
        <v>0</v>
      </c>
      <c r="AV88" s="13">
        <f t="shared" si="106"/>
        <v>0</v>
      </c>
      <c r="AW88" s="13">
        <f t="shared" si="107"/>
        <v>0</v>
      </c>
    </row>
    <row r="89" spans="2:49" x14ac:dyDescent="0.3">
      <c r="B89" s="195">
        <v>13</v>
      </c>
      <c r="C89" s="144">
        <f t="shared" si="108"/>
        <v>0</v>
      </c>
      <c r="D89" s="195">
        <f t="shared" si="109"/>
        <v>0</v>
      </c>
      <c r="E89" s="144">
        <f t="shared" si="73"/>
        <v>0</v>
      </c>
      <c r="F89" s="195">
        <f t="shared" si="109"/>
        <v>0</v>
      </c>
      <c r="G89" s="144">
        <f t="shared" si="74"/>
        <v>0</v>
      </c>
      <c r="H89" s="195">
        <f t="shared" si="75"/>
        <v>0</v>
      </c>
      <c r="I89" s="144">
        <f t="shared" si="76"/>
        <v>0</v>
      </c>
      <c r="J89" s="195">
        <f t="shared" si="77"/>
        <v>0</v>
      </c>
      <c r="K89" s="144">
        <f t="shared" si="78"/>
        <v>0</v>
      </c>
      <c r="L89" s="195">
        <f t="shared" si="79"/>
        <v>0</v>
      </c>
      <c r="M89" s="144">
        <f t="shared" si="80"/>
        <v>0</v>
      </c>
      <c r="N89" s="195">
        <f t="shared" si="81"/>
        <v>0</v>
      </c>
      <c r="O89" s="144">
        <f t="shared" si="82"/>
        <v>0</v>
      </c>
      <c r="P89" s="195">
        <f t="shared" si="83"/>
        <v>0</v>
      </c>
      <c r="Q89" s="144">
        <f t="shared" si="84"/>
        <v>0</v>
      </c>
      <c r="R89" s="195">
        <f t="shared" si="85"/>
        <v>0</v>
      </c>
      <c r="T89" s="144">
        <f t="shared" si="86"/>
        <v>0</v>
      </c>
      <c r="U89" s="144">
        <f t="shared" si="87"/>
        <v>0</v>
      </c>
      <c r="V89" s="144">
        <f t="shared" si="88"/>
        <v>0</v>
      </c>
      <c r="W89" s="144">
        <f t="shared" si="89"/>
        <v>0</v>
      </c>
      <c r="X89" s="144">
        <f t="shared" si="90"/>
        <v>0</v>
      </c>
      <c r="Y89" s="144">
        <f t="shared" si="91"/>
        <v>0</v>
      </c>
      <c r="Z89" s="144">
        <f t="shared" si="92"/>
        <v>0</v>
      </c>
      <c r="AA89" s="144">
        <f t="shared" si="93"/>
        <v>0</v>
      </c>
      <c r="AC89" s="12">
        <f t="shared" si="94"/>
        <v>0</v>
      </c>
      <c r="AD89" s="12">
        <f t="shared" si="95"/>
        <v>0</v>
      </c>
      <c r="AE89" s="12">
        <f t="shared" si="96"/>
        <v>0</v>
      </c>
      <c r="AF89" s="12">
        <f t="shared" si="97"/>
        <v>0</v>
      </c>
      <c r="AG89" s="12">
        <f t="shared" si="98"/>
        <v>0</v>
      </c>
      <c r="AH89" s="12">
        <f t="shared" si="99"/>
        <v>0</v>
      </c>
      <c r="AI89" s="12">
        <f t="shared" si="100"/>
        <v>0</v>
      </c>
      <c r="AJ89" s="12">
        <f t="shared" si="101"/>
        <v>0</v>
      </c>
      <c r="AL89" s="13">
        <f t="shared" si="102"/>
        <v>0</v>
      </c>
      <c r="AM89" s="13">
        <f t="shared" si="103"/>
        <v>0</v>
      </c>
      <c r="AN89" s="13">
        <f t="shared" si="104"/>
        <v>0</v>
      </c>
      <c r="AO89" s="13">
        <f t="shared" si="67"/>
        <v>0</v>
      </c>
      <c r="AP89" s="13">
        <f t="shared" si="68"/>
        <v>0</v>
      </c>
      <c r="AQ89" s="13">
        <f t="shared" si="69"/>
        <v>0</v>
      </c>
      <c r="AR89" s="13">
        <f t="shared" si="70"/>
        <v>0</v>
      </c>
      <c r="AS89" s="13">
        <f t="shared" si="71"/>
        <v>0</v>
      </c>
      <c r="AT89" s="13">
        <f t="shared" si="72"/>
        <v>0</v>
      </c>
      <c r="AU89" s="13">
        <f t="shared" si="105"/>
        <v>0</v>
      </c>
      <c r="AV89" s="13">
        <f t="shared" si="106"/>
        <v>0</v>
      </c>
      <c r="AW89" s="13">
        <f t="shared" si="107"/>
        <v>0</v>
      </c>
    </row>
    <row r="90" spans="2:49" x14ac:dyDescent="0.3">
      <c r="B90" s="50">
        <v>12</v>
      </c>
      <c r="C90" s="144">
        <f t="shared" si="108"/>
        <v>0</v>
      </c>
      <c r="D90" s="195">
        <f t="shared" si="109"/>
        <v>0</v>
      </c>
      <c r="E90" s="144">
        <f t="shared" si="73"/>
        <v>0</v>
      </c>
      <c r="F90" s="195">
        <f t="shared" si="109"/>
        <v>0</v>
      </c>
      <c r="G90" s="144">
        <f t="shared" si="74"/>
        <v>0</v>
      </c>
      <c r="H90" s="195">
        <f t="shared" si="75"/>
        <v>0</v>
      </c>
      <c r="I90" s="144">
        <f t="shared" si="76"/>
        <v>0</v>
      </c>
      <c r="J90" s="195">
        <f t="shared" si="77"/>
        <v>0</v>
      </c>
      <c r="K90" s="144">
        <f t="shared" si="78"/>
        <v>0</v>
      </c>
      <c r="L90" s="195">
        <f t="shared" si="79"/>
        <v>0</v>
      </c>
      <c r="M90" s="144">
        <f t="shared" si="80"/>
        <v>0</v>
      </c>
      <c r="N90" s="195">
        <f t="shared" si="81"/>
        <v>0</v>
      </c>
      <c r="O90" s="144">
        <f t="shared" si="82"/>
        <v>0</v>
      </c>
      <c r="P90" s="195">
        <f t="shared" si="83"/>
        <v>0</v>
      </c>
      <c r="Q90" s="144">
        <f t="shared" si="84"/>
        <v>0</v>
      </c>
      <c r="R90" s="195">
        <f t="shared" si="85"/>
        <v>0</v>
      </c>
      <c r="T90" s="144">
        <f t="shared" si="86"/>
        <v>0</v>
      </c>
      <c r="U90" s="144">
        <f t="shared" si="87"/>
        <v>0</v>
      </c>
      <c r="V90" s="144">
        <f t="shared" si="88"/>
        <v>0</v>
      </c>
      <c r="W90" s="144">
        <f t="shared" si="89"/>
        <v>0</v>
      </c>
      <c r="X90" s="144">
        <f t="shared" si="90"/>
        <v>0</v>
      </c>
      <c r="Y90" s="144">
        <f t="shared" si="91"/>
        <v>0</v>
      </c>
      <c r="Z90" s="144">
        <f t="shared" si="92"/>
        <v>0</v>
      </c>
      <c r="AA90" s="144">
        <f t="shared" si="93"/>
        <v>0</v>
      </c>
      <c r="AC90" s="12">
        <f t="shared" si="94"/>
        <v>0</v>
      </c>
      <c r="AD90" s="12">
        <f t="shared" si="95"/>
        <v>0</v>
      </c>
      <c r="AE90" s="12">
        <f t="shared" si="96"/>
        <v>0</v>
      </c>
      <c r="AF90" s="12">
        <f t="shared" si="97"/>
        <v>0</v>
      </c>
      <c r="AG90" s="12">
        <f t="shared" si="98"/>
        <v>0</v>
      </c>
      <c r="AH90" s="12">
        <f t="shared" si="99"/>
        <v>0</v>
      </c>
      <c r="AI90" s="12">
        <f t="shared" si="100"/>
        <v>0</v>
      </c>
      <c r="AJ90" s="12">
        <f t="shared" si="101"/>
        <v>0</v>
      </c>
      <c r="AL90" s="13">
        <f t="shared" si="102"/>
        <v>0</v>
      </c>
      <c r="AM90" s="13">
        <f t="shared" si="103"/>
        <v>0</v>
      </c>
      <c r="AN90" s="13">
        <f t="shared" si="104"/>
        <v>0</v>
      </c>
      <c r="AO90" s="13">
        <f t="shared" si="67"/>
        <v>0</v>
      </c>
      <c r="AP90" s="13">
        <f t="shared" si="68"/>
        <v>0</v>
      </c>
      <c r="AQ90" s="13">
        <f t="shared" si="69"/>
        <v>0</v>
      </c>
      <c r="AR90" s="13">
        <f t="shared" si="70"/>
        <v>0</v>
      </c>
      <c r="AS90" s="13">
        <f t="shared" si="71"/>
        <v>0</v>
      </c>
      <c r="AT90" s="13">
        <f t="shared" si="72"/>
        <v>0</v>
      </c>
      <c r="AU90" s="13">
        <f t="shared" si="105"/>
        <v>0</v>
      </c>
      <c r="AV90" s="13">
        <f t="shared" si="106"/>
        <v>0</v>
      </c>
      <c r="AW90" s="13">
        <f t="shared" si="107"/>
        <v>0</v>
      </c>
    </row>
    <row r="91" spans="2:49" x14ac:dyDescent="0.3">
      <c r="B91" s="50">
        <v>11</v>
      </c>
      <c r="C91" s="144">
        <f t="shared" si="108"/>
        <v>0</v>
      </c>
      <c r="D91" s="195">
        <f t="shared" si="109"/>
        <v>0</v>
      </c>
      <c r="E91" s="144">
        <f t="shared" si="73"/>
        <v>0</v>
      </c>
      <c r="F91" s="195">
        <f t="shared" si="109"/>
        <v>0</v>
      </c>
      <c r="G91" s="144">
        <f t="shared" si="74"/>
        <v>0</v>
      </c>
      <c r="H91" s="195">
        <f t="shared" si="75"/>
        <v>0</v>
      </c>
      <c r="I91" s="144">
        <f t="shared" si="76"/>
        <v>0</v>
      </c>
      <c r="J91" s="195">
        <f t="shared" si="77"/>
        <v>0</v>
      </c>
      <c r="K91" s="144">
        <f t="shared" si="78"/>
        <v>0</v>
      </c>
      <c r="L91" s="195">
        <f t="shared" si="79"/>
        <v>0</v>
      </c>
      <c r="M91" s="144">
        <f t="shared" si="80"/>
        <v>0</v>
      </c>
      <c r="N91" s="195">
        <f t="shared" si="81"/>
        <v>0</v>
      </c>
      <c r="O91" s="144">
        <f t="shared" si="82"/>
        <v>0</v>
      </c>
      <c r="P91" s="195">
        <f t="shared" si="83"/>
        <v>0</v>
      </c>
      <c r="Q91" s="144">
        <f t="shared" si="84"/>
        <v>0</v>
      </c>
      <c r="R91" s="195">
        <f t="shared" si="85"/>
        <v>0</v>
      </c>
      <c r="T91" s="144">
        <f t="shared" si="86"/>
        <v>0</v>
      </c>
      <c r="U91" s="144">
        <f t="shared" si="87"/>
        <v>0</v>
      </c>
      <c r="V91" s="144">
        <f t="shared" si="88"/>
        <v>0</v>
      </c>
      <c r="W91" s="144">
        <f t="shared" si="89"/>
        <v>0</v>
      </c>
      <c r="X91" s="144">
        <f t="shared" si="90"/>
        <v>0</v>
      </c>
      <c r="Y91" s="144">
        <f t="shared" si="91"/>
        <v>0</v>
      </c>
      <c r="Z91" s="144">
        <f t="shared" si="92"/>
        <v>0</v>
      </c>
      <c r="AA91" s="144">
        <f t="shared" si="93"/>
        <v>0</v>
      </c>
      <c r="AC91" s="12">
        <f t="shared" si="94"/>
        <v>0</v>
      </c>
      <c r="AD91" s="12">
        <f t="shared" si="95"/>
        <v>0</v>
      </c>
      <c r="AE91" s="12">
        <f t="shared" si="96"/>
        <v>0</v>
      </c>
      <c r="AF91" s="12">
        <f t="shared" si="97"/>
        <v>0</v>
      </c>
      <c r="AG91" s="12">
        <f t="shared" si="98"/>
        <v>0</v>
      </c>
      <c r="AH91" s="12">
        <f t="shared" si="99"/>
        <v>0</v>
      </c>
      <c r="AI91" s="12">
        <f t="shared" si="100"/>
        <v>0</v>
      </c>
      <c r="AJ91" s="12">
        <f t="shared" si="101"/>
        <v>0</v>
      </c>
      <c r="AL91" s="13">
        <f t="shared" si="102"/>
        <v>0</v>
      </c>
      <c r="AM91" s="13">
        <f t="shared" si="103"/>
        <v>0</v>
      </c>
      <c r="AN91" s="13">
        <f t="shared" si="104"/>
        <v>0</v>
      </c>
      <c r="AO91" s="13">
        <f t="shared" si="67"/>
        <v>0</v>
      </c>
      <c r="AP91" s="13">
        <f t="shared" si="68"/>
        <v>0</v>
      </c>
      <c r="AQ91" s="13">
        <f t="shared" si="69"/>
        <v>0</v>
      </c>
      <c r="AR91" s="13">
        <f t="shared" si="70"/>
        <v>0</v>
      </c>
      <c r="AS91" s="13">
        <f t="shared" si="71"/>
        <v>0</v>
      </c>
      <c r="AT91" s="13">
        <f t="shared" si="72"/>
        <v>0</v>
      </c>
      <c r="AU91" s="13">
        <f t="shared" si="105"/>
        <v>0</v>
      </c>
      <c r="AV91" s="13">
        <f t="shared" si="106"/>
        <v>0</v>
      </c>
      <c r="AW91" s="13">
        <f t="shared" si="107"/>
        <v>0</v>
      </c>
    </row>
    <row r="92" spans="2:49" x14ac:dyDescent="0.3">
      <c r="B92" s="195">
        <v>10</v>
      </c>
      <c r="C92" s="144">
        <f t="shared" si="108"/>
        <v>0</v>
      </c>
      <c r="D92" s="195">
        <f t="shared" si="109"/>
        <v>0</v>
      </c>
      <c r="E92" s="144">
        <f t="shared" si="73"/>
        <v>0</v>
      </c>
      <c r="F92" s="195">
        <f t="shared" si="109"/>
        <v>0</v>
      </c>
      <c r="G92" s="144">
        <f t="shared" si="74"/>
        <v>0</v>
      </c>
      <c r="H92" s="195">
        <f t="shared" si="75"/>
        <v>0</v>
      </c>
      <c r="I92" s="144">
        <f t="shared" si="76"/>
        <v>6</v>
      </c>
      <c r="J92" s="195">
        <f t="shared" si="77"/>
        <v>2.3715415019762842</v>
      </c>
      <c r="K92" s="144">
        <f t="shared" si="78"/>
        <v>0</v>
      </c>
      <c r="L92" s="195">
        <f t="shared" si="79"/>
        <v>0</v>
      </c>
      <c r="M92" s="144">
        <f t="shared" si="80"/>
        <v>0</v>
      </c>
      <c r="N92" s="195">
        <f t="shared" si="81"/>
        <v>0</v>
      </c>
      <c r="O92" s="144">
        <f t="shared" si="82"/>
        <v>0</v>
      </c>
      <c r="P92" s="195">
        <f t="shared" si="83"/>
        <v>0</v>
      </c>
      <c r="Q92" s="144">
        <f t="shared" si="84"/>
        <v>1</v>
      </c>
      <c r="R92" s="195">
        <f t="shared" si="85"/>
        <v>0.24390243902439024</v>
      </c>
      <c r="T92" s="144">
        <f t="shared" si="86"/>
        <v>0</v>
      </c>
      <c r="U92" s="144">
        <f t="shared" si="87"/>
        <v>0</v>
      </c>
      <c r="V92" s="144">
        <f t="shared" si="88"/>
        <v>0</v>
      </c>
      <c r="W92" s="144">
        <f t="shared" si="89"/>
        <v>2.3715415019762842</v>
      </c>
      <c r="X92" s="144">
        <f t="shared" si="90"/>
        <v>0</v>
      </c>
      <c r="Y92" s="144">
        <f t="shared" si="91"/>
        <v>0</v>
      </c>
      <c r="Z92" s="144">
        <f t="shared" si="92"/>
        <v>0</v>
      </c>
      <c r="AA92" s="144">
        <f t="shared" si="93"/>
        <v>0.24390243902439024</v>
      </c>
      <c r="AC92" s="12">
        <f t="shared" si="94"/>
        <v>0</v>
      </c>
      <c r="AD92" s="12">
        <f t="shared" si="95"/>
        <v>0</v>
      </c>
      <c r="AE92" s="12">
        <f t="shared" si="96"/>
        <v>0</v>
      </c>
      <c r="AF92" s="12">
        <f t="shared" si="97"/>
        <v>2.3715415019762841E-2</v>
      </c>
      <c r="AG92" s="12">
        <f t="shared" si="98"/>
        <v>0</v>
      </c>
      <c r="AH92" s="12">
        <f t="shared" si="99"/>
        <v>0</v>
      </c>
      <c r="AI92" s="12">
        <f t="shared" si="100"/>
        <v>0</v>
      </c>
      <c r="AJ92" s="12">
        <f t="shared" si="101"/>
        <v>2.4390243902439024E-3</v>
      </c>
      <c r="AL92" s="13">
        <f t="shared" si="102"/>
        <v>0</v>
      </c>
      <c r="AM92" s="13">
        <f t="shared" si="103"/>
        <v>0</v>
      </c>
      <c r="AN92" s="13">
        <f t="shared" si="104"/>
        <v>0</v>
      </c>
      <c r="AO92" s="13">
        <f t="shared" si="67"/>
        <v>0</v>
      </c>
      <c r="AP92" s="13">
        <f t="shared" si="68"/>
        <v>0</v>
      </c>
      <c r="AQ92" s="13">
        <f t="shared" si="69"/>
        <v>2.3715415019762841E-2</v>
      </c>
      <c r="AR92" s="13">
        <f t="shared" si="70"/>
        <v>0</v>
      </c>
      <c r="AS92" s="13">
        <f t="shared" si="71"/>
        <v>0</v>
      </c>
      <c r="AT92" s="13">
        <f t="shared" si="72"/>
        <v>0</v>
      </c>
      <c r="AU92" s="13">
        <f t="shared" si="105"/>
        <v>2.4390243902439024E-3</v>
      </c>
      <c r="AV92" s="13">
        <f t="shared" si="106"/>
        <v>2.4390243902439024E-3</v>
      </c>
      <c r="AW92" s="13">
        <f t="shared" si="107"/>
        <v>2.4390243902439024E-3</v>
      </c>
    </row>
    <row r="93" spans="2:49" x14ac:dyDescent="0.3">
      <c r="B93" s="195">
        <v>9</v>
      </c>
      <c r="C93" s="144">
        <f t="shared" si="108"/>
        <v>0</v>
      </c>
      <c r="D93" s="195">
        <f t="shared" si="109"/>
        <v>0</v>
      </c>
      <c r="E93" s="144">
        <f t="shared" si="73"/>
        <v>0</v>
      </c>
      <c r="F93" s="195">
        <f t="shared" si="109"/>
        <v>0</v>
      </c>
      <c r="G93" s="144">
        <f t="shared" si="74"/>
        <v>0</v>
      </c>
      <c r="H93" s="195">
        <f t="shared" si="75"/>
        <v>0</v>
      </c>
      <c r="I93" s="144">
        <f t="shared" si="76"/>
        <v>12</v>
      </c>
      <c r="J93" s="195">
        <f t="shared" si="77"/>
        <v>4.7430830039525684</v>
      </c>
      <c r="K93" s="144">
        <f t="shared" si="78"/>
        <v>0</v>
      </c>
      <c r="L93" s="195">
        <f t="shared" si="79"/>
        <v>0</v>
      </c>
      <c r="M93" s="144">
        <f t="shared" si="80"/>
        <v>0</v>
      </c>
      <c r="N93" s="195">
        <f t="shared" si="81"/>
        <v>0</v>
      </c>
      <c r="O93" s="144">
        <f t="shared" si="82"/>
        <v>0</v>
      </c>
      <c r="P93" s="195">
        <f t="shared" si="83"/>
        <v>0</v>
      </c>
      <c r="Q93" s="144">
        <f t="shared" si="84"/>
        <v>3</v>
      </c>
      <c r="R93" s="195">
        <f t="shared" si="85"/>
        <v>0.73170731707317083</v>
      </c>
      <c r="T93" s="144">
        <f t="shared" si="86"/>
        <v>0</v>
      </c>
      <c r="U93" s="144">
        <f t="shared" si="87"/>
        <v>0</v>
      </c>
      <c r="V93" s="144">
        <f t="shared" si="88"/>
        <v>0</v>
      </c>
      <c r="W93" s="144">
        <f t="shared" si="89"/>
        <v>4.7430830039525684</v>
      </c>
      <c r="X93" s="144">
        <f t="shared" si="90"/>
        <v>0</v>
      </c>
      <c r="Y93" s="144">
        <f t="shared" si="91"/>
        <v>0</v>
      </c>
      <c r="Z93" s="144">
        <f t="shared" si="92"/>
        <v>0</v>
      </c>
      <c r="AA93" s="144">
        <f t="shared" si="93"/>
        <v>0.73170731707317083</v>
      </c>
      <c r="AC93" s="12">
        <f t="shared" si="94"/>
        <v>0</v>
      </c>
      <c r="AD93" s="12">
        <f t="shared" si="95"/>
        <v>0</v>
      </c>
      <c r="AE93" s="12">
        <f t="shared" si="96"/>
        <v>0</v>
      </c>
      <c r="AF93" s="12">
        <f t="shared" si="97"/>
        <v>4.7430830039525682E-2</v>
      </c>
      <c r="AG93" s="12">
        <f t="shared" si="98"/>
        <v>0</v>
      </c>
      <c r="AH93" s="12">
        <f t="shared" si="99"/>
        <v>0</v>
      </c>
      <c r="AI93" s="12">
        <f t="shared" si="100"/>
        <v>0</v>
      </c>
      <c r="AJ93" s="12">
        <f t="shared" si="101"/>
        <v>7.3170731707317086E-3</v>
      </c>
      <c r="AL93" s="13">
        <f t="shared" si="102"/>
        <v>0</v>
      </c>
      <c r="AM93" s="13">
        <f t="shared" si="103"/>
        <v>0</v>
      </c>
      <c r="AN93" s="13">
        <f t="shared" si="104"/>
        <v>0</v>
      </c>
      <c r="AO93" s="13">
        <f t="shared" si="67"/>
        <v>0</v>
      </c>
      <c r="AP93" s="13">
        <f t="shared" si="68"/>
        <v>0</v>
      </c>
      <c r="AQ93" s="13">
        <f t="shared" si="69"/>
        <v>4.7430830039525682E-2</v>
      </c>
      <c r="AR93" s="13">
        <f t="shared" si="70"/>
        <v>0</v>
      </c>
      <c r="AS93" s="13">
        <f t="shared" si="71"/>
        <v>0</v>
      </c>
      <c r="AT93" s="13">
        <f t="shared" si="72"/>
        <v>0</v>
      </c>
      <c r="AU93" s="13">
        <f t="shared" si="105"/>
        <v>7.3170731707317086E-3</v>
      </c>
      <c r="AV93" s="13">
        <f t="shared" si="106"/>
        <v>7.3170731707317086E-3</v>
      </c>
      <c r="AW93" s="13">
        <f t="shared" si="107"/>
        <v>7.3170731707317086E-3</v>
      </c>
    </row>
    <row r="94" spans="2:49" x14ac:dyDescent="0.3">
      <c r="B94" s="195">
        <v>8</v>
      </c>
      <c r="C94" s="144">
        <f t="shared" si="108"/>
        <v>0</v>
      </c>
      <c r="D94" s="195">
        <f t="shared" si="109"/>
        <v>0</v>
      </c>
      <c r="E94" s="144">
        <f t="shared" si="73"/>
        <v>0</v>
      </c>
      <c r="F94" s="195">
        <f t="shared" si="109"/>
        <v>0</v>
      </c>
      <c r="G94" s="144">
        <f t="shared" si="74"/>
        <v>0</v>
      </c>
      <c r="H94" s="195">
        <f t="shared" si="75"/>
        <v>0</v>
      </c>
      <c r="I94" s="144">
        <f t="shared" si="76"/>
        <v>18</v>
      </c>
      <c r="J94" s="195">
        <f t="shared" si="77"/>
        <v>7.1146245059288544</v>
      </c>
      <c r="K94" s="144">
        <f t="shared" si="78"/>
        <v>0</v>
      </c>
      <c r="L94" s="195">
        <f t="shared" si="79"/>
        <v>0</v>
      </c>
      <c r="M94" s="144">
        <f t="shared" si="80"/>
        <v>0</v>
      </c>
      <c r="N94" s="195">
        <f t="shared" si="81"/>
        <v>0</v>
      </c>
      <c r="O94" s="144">
        <f t="shared" si="82"/>
        <v>0</v>
      </c>
      <c r="P94" s="195">
        <f t="shared" si="83"/>
        <v>0</v>
      </c>
      <c r="Q94" s="144">
        <f t="shared" si="84"/>
        <v>5</v>
      </c>
      <c r="R94" s="195">
        <f t="shared" si="85"/>
        <v>1.2195121951219512</v>
      </c>
      <c r="T94" s="144">
        <f t="shared" si="86"/>
        <v>0</v>
      </c>
      <c r="U94" s="144">
        <f t="shared" si="87"/>
        <v>0</v>
      </c>
      <c r="V94" s="144">
        <f t="shared" si="88"/>
        <v>0</v>
      </c>
      <c r="W94" s="144">
        <f t="shared" si="89"/>
        <v>7.1146245059288544</v>
      </c>
      <c r="X94" s="144">
        <f t="shared" si="90"/>
        <v>0</v>
      </c>
      <c r="Y94" s="144">
        <f t="shared" si="91"/>
        <v>0</v>
      </c>
      <c r="Z94" s="144">
        <f t="shared" si="92"/>
        <v>0</v>
      </c>
      <c r="AA94" s="144">
        <f t="shared" si="93"/>
        <v>1.2195121951219512</v>
      </c>
      <c r="AC94" s="12">
        <f t="shared" si="94"/>
        <v>0</v>
      </c>
      <c r="AD94" s="12">
        <f t="shared" si="95"/>
        <v>0</v>
      </c>
      <c r="AE94" s="12">
        <f t="shared" si="96"/>
        <v>0</v>
      </c>
      <c r="AF94" s="12">
        <f t="shared" si="97"/>
        <v>7.1146245059288543E-2</v>
      </c>
      <c r="AG94" s="12">
        <f t="shared" si="98"/>
        <v>0</v>
      </c>
      <c r="AH94" s="12">
        <f t="shared" si="99"/>
        <v>0</v>
      </c>
      <c r="AI94" s="12">
        <f t="shared" si="100"/>
        <v>0</v>
      </c>
      <c r="AJ94" s="12">
        <f t="shared" si="101"/>
        <v>1.2195121951219513E-2</v>
      </c>
      <c r="AL94" s="13">
        <f t="shared" si="102"/>
        <v>0</v>
      </c>
      <c r="AM94" s="13">
        <f t="shared" si="103"/>
        <v>0</v>
      </c>
      <c r="AN94" s="13">
        <f t="shared" si="104"/>
        <v>0</v>
      </c>
      <c r="AO94" s="13">
        <f t="shared" si="67"/>
        <v>0</v>
      </c>
      <c r="AP94" s="13">
        <f t="shared" si="68"/>
        <v>0</v>
      </c>
      <c r="AQ94" s="13">
        <f t="shared" si="69"/>
        <v>7.1146245059288543E-2</v>
      </c>
      <c r="AR94" s="13">
        <f t="shared" si="70"/>
        <v>0</v>
      </c>
      <c r="AS94" s="13">
        <f t="shared" si="71"/>
        <v>0</v>
      </c>
      <c r="AT94" s="13">
        <f t="shared" si="72"/>
        <v>0</v>
      </c>
      <c r="AU94" s="13">
        <f t="shared" si="105"/>
        <v>1.2195121951219513E-2</v>
      </c>
      <c r="AV94" s="13">
        <f t="shared" si="106"/>
        <v>1.2195121951219513E-2</v>
      </c>
      <c r="AW94" s="13">
        <f t="shared" si="107"/>
        <v>1.2195121951219513E-2</v>
      </c>
    </row>
    <row r="95" spans="2:49" x14ac:dyDescent="0.3">
      <c r="B95" s="195">
        <v>7</v>
      </c>
      <c r="C95" s="144">
        <f t="shared" si="108"/>
        <v>0</v>
      </c>
      <c r="D95" s="195">
        <f t="shared" si="109"/>
        <v>0</v>
      </c>
      <c r="E95" s="144">
        <f t="shared" si="73"/>
        <v>0</v>
      </c>
      <c r="F95" s="195">
        <f t="shared" si="109"/>
        <v>0</v>
      </c>
      <c r="G95" s="144">
        <f t="shared" si="74"/>
        <v>0</v>
      </c>
      <c r="H95" s="195">
        <f t="shared" si="75"/>
        <v>0</v>
      </c>
      <c r="I95" s="144">
        <f t="shared" si="76"/>
        <v>24</v>
      </c>
      <c r="J95" s="195">
        <f t="shared" si="77"/>
        <v>9.4861660079051369</v>
      </c>
      <c r="K95" s="144">
        <f t="shared" si="78"/>
        <v>0</v>
      </c>
      <c r="L95" s="195">
        <f t="shared" si="79"/>
        <v>0</v>
      </c>
      <c r="M95" s="144">
        <f t="shared" si="80"/>
        <v>0</v>
      </c>
      <c r="N95" s="195">
        <f t="shared" si="81"/>
        <v>0</v>
      </c>
      <c r="O95" s="144">
        <f t="shared" si="82"/>
        <v>0</v>
      </c>
      <c r="P95" s="195">
        <f t="shared" si="83"/>
        <v>0</v>
      </c>
      <c r="Q95" s="144">
        <f t="shared" si="84"/>
        <v>7</v>
      </c>
      <c r="R95" s="195">
        <f t="shared" si="85"/>
        <v>1.7073170731707319</v>
      </c>
      <c r="T95" s="144">
        <f t="shared" si="86"/>
        <v>0</v>
      </c>
      <c r="U95" s="144">
        <f t="shared" si="87"/>
        <v>0</v>
      </c>
      <c r="V95" s="144">
        <f t="shared" si="88"/>
        <v>0</v>
      </c>
      <c r="W95" s="144">
        <f t="shared" si="89"/>
        <v>9.4861660079051369</v>
      </c>
      <c r="X95" s="144">
        <f t="shared" si="90"/>
        <v>0</v>
      </c>
      <c r="Y95" s="144">
        <f t="shared" si="91"/>
        <v>0</v>
      </c>
      <c r="Z95" s="144">
        <f t="shared" si="92"/>
        <v>0</v>
      </c>
      <c r="AA95" s="144">
        <f t="shared" si="93"/>
        <v>1.7073170731707319</v>
      </c>
      <c r="AC95" s="12">
        <f t="shared" si="94"/>
        <v>0</v>
      </c>
      <c r="AD95" s="12">
        <f t="shared" si="95"/>
        <v>0</v>
      </c>
      <c r="AE95" s="12">
        <f t="shared" si="96"/>
        <v>0</v>
      </c>
      <c r="AF95" s="12">
        <f t="shared" si="97"/>
        <v>9.4861660079051363E-2</v>
      </c>
      <c r="AG95" s="12">
        <f t="shared" si="98"/>
        <v>0</v>
      </c>
      <c r="AH95" s="12">
        <f t="shared" si="99"/>
        <v>0</v>
      </c>
      <c r="AI95" s="12">
        <f t="shared" si="100"/>
        <v>0</v>
      </c>
      <c r="AJ95" s="12">
        <f t="shared" si="101"/>
        <v>1.7073170731707318E-2</v>
      </c>
      <c r="AL95" s="13">
        <f t="shared" si="102"/>
        <v>0</v>
      </c>
      <c r="AM95" s="13">
        <f t="shared" si="103"/>
        <v>0</v>
      </c>
      <c r="AN95" s="13">
        <f t="shared" si="104"/>
        <v>0</v>
      </c>
      <c r="AO95" s="13">
        <f t="shared" si="67"/>
        <v>0</v>
      </c>
      <c r="AP95" s="13">
        <f t="shared" si="68"/>
        <v>0</v>
      </c>
      <c r="AQ95" s="13">
        <f t="shared" si="69"/>
        <v>9.4861660079051363E-2</v>
      </c>
      <c r="AR95" s="13">
        <f t="shared" si="70"/>
        <v>0</v>
      </c>
      <c r="AS95" s="13">
        <f t="shared" si="71"/>
        <v>0</v>
      </c>
      <c r="AT95" s="13">
        <f t="shared" si="72"/>
        <v>0</v>
      </c>
      <c r="AU95" s="13">
        <f t="shared" si="105"/>
        <v>1.7073170731707318E-2</v>
      </c>
      <c r="AV95" s="13">
        <f t="shared" si="106"/>
        <v>1.7073170731707318E-2</v>
      </c>
      <c r="AW95" s="13">
        <f t="shared" si="107"/>
        <v>1.7073170731707318E-2</v>
      </c>
    </row>
    <row r="96" spans="2:49" x14ac:dyDescent="0.3">
      <c r="B96" s="195">
        <v>6</v>
      </c>
      <c r="C96" s="144">
        <f t="shared" si="108"/>
        <v>0</v>
      </c>
      <c r="D96" s="195">
        <f t="shared" si="109"/>
        <v>0</v>
      </c>
      <c r="E96" s="144">
        <f t="shared" si="73"/>
        <v>0</v>
      </c>
      <c r="F96" s="195">
        <f t="shared" si="109"/>
        <v>0</v>
      </c>
      <c r="G96" s="144">
        <f t="shared" si="74"/>
        <v>0</v>
      </c>
      <c r="H96" s="195">
        <f t="shared" si="75"/>
        <v>0</v>
      </c>
      <c r="I96" s="144">
        <f t="shared" si="76"/>
        <v>30</v>
      </c>
      <c r="J96" s="195">
        <f t="shared" si="77"/>
        <v>11.857707509881422</v>
      </c>
      <c r="K96" s="144">
        <f t="shared" si="78"/>
        <v>0</v>
      </c>
      <c r="L96" s="195">
        <f t="shared" si="79"/>
        <v>0</v>
      </c>
      <c r="M96" s="144">
        <f t="shared" si="80"/>
        <v>0</v>
      </c>
      <c r="N96" s="195">
        <f t="shared" si="81"/>
        <v>0</v>
      </c>
      <c r="O96" s="144">
        <f t="shared" si="82"/>
        <v>1</v>
      </c>
      <c r="P96" s="195">
        <f t="shared" si="83"/>
        <v>0.33898305084745761</v>
      </c>
      <c r="Q96" s="144">
        <f t="shared" si="84"/>
        <v>9</v>
      </c>
      <c r="R96" s="195">
        <f t="shared" si="85"/>
        <v>2.1951219512195119</v>
      </c>
      <c r="T96" s="144">
        <f t="shared" si="86"/>
        <v>0</v>
      </c>
      <c r="U96" s="144">
        <f t="shared" si="87"/>
        <v>0</v>
      </c>
      <c r="V96" s="144">
        <f t="shared" si="88"/>
        <v>0</v>
      </c>
      <c r="W96" s="144">
        <f t="shared" si="89"/>
        <v>11.857707509881422</v>
      </c>
      <c r="X96" s="144">
        <f t="shared" si="90"/>
        <v>0</v>
      </c>
      <c r="Y96" s="144">
        <f t="shared" si="91"/>
        <v>0</v>
      </c>
      <c r="Z96" s="144">
        <f t="shared" si="92"/>
        <v>0.33898305084745761</v>
      </c>
      <c r="AA96" s="144">
        <f t="shared" si="93"/>
        <v>2.1951219512195119</v>
      </c>
      <c r="AC96" s="12">
        <f t="shared" si="94"/>
        <v>0</v>
      </c>
      <c r="AD96" s="12">
        <f t="shared" si="95"/>
        <v>0</v>
      </c>
      <c r="AE96" s="12">
        <f t="shared" si="96"/>
        <v>0</v>
      </c>
      <c r="AF96" s="12">
        <f t="shared" si="97"/>
        <v>0.11857707509881422</v>
      </c>
      <c r="AG96" s="12">
        <f t="shared" si="98"/>
        <v>0</v>
      </c>
      <c r="AH96" s="12">
        <f t="shared" si="99"/>
        <v>0</v>
      </c>
      <c r="AI96" s="12">
        <f t="shared" si="100"/>
        <v>3.3898305084745762E-3</v>
      </c>
      <c r="AJ96" s="12">
        <f t="shared" si="101"/>
        <v>2.1951219512195121E-2</v>
      </c>
      <c r="AL96" s="13">
        <f t="shared" si="102"/>
        <v>0</v>
      </c>
      <c r="AM96" s="13">
        <f t="shared" si="103"/>
        <v>0</v>
      </c>
      <c r="AN96" s="13">
        <f t="shared" si="104"/>
        <v>0</v>
      </c>
      <c r="AO96" s="13">
        <f t="shared" si="67"/>
        <v>0</v>
      </c>
      <c r="AP96" s="13">
        <f t="shared" si="68"/>
        <v>0</v>
      </c>
      <c r="AQ96" s="13">
        <f t="shared" si="69"/>
        <v>0.11857707509881422</v>
      </c>
      <c r="AR96" s="13">
        <f t="shared" si="70"/>
        <v>0</v>
      </c>
      <c r="AS96" s="13">
        <f t="shared" si="71"/>
        <v>0</v>
      </c>
      <c r="AT96" s="13">
        <f t="shared" si="72"/>
        <v>3.3898305084745762E-3</v>
      </c>
      <c r="AU96" s="13">
        <f t="shared" si="105"/>
        <v>2.1951219512195121E-2</v>
      </c>
      <c r="AV96" s="13">
        <f t="shared" si="106"/>
        <v>2.1951219512195121E-2</v>
      </c>
      <c r="AW96" s="13">
        <f t="shared" si="107"/>
        <v>2.1951219512195121E-2</v>
      </c>
    </row>
    <row r="97" spans="1:60" x14ac:dyDescent="0.3">
      <c r="B97" s="195">
        <v>5</v>
      </c>
      <c r="C97" s="144">
        <f t="shared" si="108"/>
        <v>0</v>
      </c>
      <c r="D97" s="195">
        <f t="shared" si="109"/>
        <v>0</v>
      </c>
      <c r="E97" s="144">
        <f t="shared" si="73"/>
        <v>3</v>
      </c>
      <c r="F97" s="195">
        <f t="shared" si="109"/>
        <v>1.1029411764705883</v>
      </c>
      <c r="G97" s="144">
        <f t="shared" si="74"/>
        <v>0</v>
      </c>
      <c r="H97" s="195">
        <f t="shared" si="75"/>
        <v>0</v>
      </c>
      <c r="I97" s="144">
        <f t="shared" si="76"/>
        <v>36</v>
      </c>
      <c r="J97" s="195">
        <f t="shared" si="77"/>
        <v>14.229249011857709</v>
      </c>
      <c r="K97" s="144">
        <f t="shared" si="78"/>
        <v>3</v>
      </c>
      <c r="L97" s="195">
        <f t="shared" si="79"/>
        <v>1.6304347826086956</v>
      </c>
      <c r="M97" s="144">
        <f t="shared" si="80"/>
        <v>0</v>
      </c>
      <c r="N97" s="195">
        <f t="shared" si="81"/>
        <v>0</v>
      </c>
      <c r="O97" s="144">
        <f t="shared" si="82"/>
        <v>2</v>
      </c>
      <c r="P97" s="195">
        <f t="shared" si="83"/>
        <v>0.67796610169491522</v>
      </c>
      <c r="Q97" s="144">
        <f t="shared" si="84"/>
        <v>11</v>
      </c>
      <c r="R97" s="195">
        <f t="shared" si="85"/>
        <v>2.6829268292682928</v>
      </c>
      <c r="T97" s="144">
        <f t="shared" si="86"/>
        <v>0</v>
      </c>
      <c r="U97" s="144">
        <f t="shared" si="87"/>
        <v>1.1029411764705883</v>
      </c>
      <c r="V97" s="144">
        <f t="shared" si="88"/>
        <v>0</v>
      </c>
      <c r="W97" s="144">
        <f t="shared" si="89"/>
        <v>14.229249011857709</v>
      </c>
      <c r="X97" s="144">
        <f t="shared" si="90"/>
        <v>1.6304347826086956</v>
      </c>
      <c r="Y97" s="144">
        <f t="shared" si="91"/>
        <v>0</v>
      </c>
      <c r="Z97" s="144">
        <f t="shared" si="92"/>
        <v>0.67796610169491522</v>
      </c>
      <c r="AA97" s="144">
        <f t="shared" si="93"/>
        <v>2.6829268292682928</v>
      </c>
      <c r="AC97" s="12">
        <f t="shared" si="94"/>
        <v>0</v>
      </c>
      <c r="AD97" s="12">
        <f t="shared" si="95"/>
        <v>1.1029411764705883E-2</v>
      </c>
      <c r="AE97" s="12">
        <f t="shared" si="96"/>
        <v>0</v>
      </c>
      <c r="AF97" s="12">
        <f t="shared" si="97"/>
        <v>0.14229249011857709</v>
      </c>
      <c r="AG97" s="12">
        <f t="shared" si="98"/>
        <v>1.6304347826086956E-2</v>
      </c>
      <c r="AH97" s="12">
        <f t="shared" si="99"/>
        <v>0</v>
      </c>
      <c r="AI97" s="12">
        <f t="shared" si="100"/>
        <v>6.7796610169491523E-3</v>
      </c>
      <c r="AJ97" s="12">
        <f t="shared" si="101"/>
        <v>2.682926829268293E-2</v>
      </c>
      <c r="AL97" s="13">
        <f t="shared" si="102"/>
        <v>0</v>
      </c>
      <c r="AM97" s="13">
        <f t="shared" si="103"/>
        <v>0</v>
      </c>
      <c r="AN97" s="13">
        <f t="shared" si="104"/>
        <v>0</v>
      </c>
      <c r="AO97" s="13">
        <f t="shared" si="67"/>
        <v>1.1029411764705883E-2</v>
      </c>
      <c r="AP97" s="13">
        <f t="shared" si="68"/>
        <v>0</v>
      </c>
      <c r="AQ97" s="13">
        <f t="shared" si="69"/>
        <v>0.14229249011857709</v>
      </c>
      <c r="AR97" s="13">
        <f t="shared" si="70"/>
        <v>1.6304347826086956E-2</v>
      </c>
      <c r="AS97" s="13">
        <f t="shared" si="71"/>
        <v>0</v>
      </c>
      <c r="AT97" s="13">
        <f t="shared" si="72"/>
        <v>6.7796610169491523E-3</v>
      </c>
      <c r="AU97" s="13">
        <f t="shared" si="105"/>
        <v>2.682926829268293E-2</v>
      </c>
      <c r="AV97" s="13">
        <f t="shared" si="106"/>
        <v>2.682926829268293E-2</v>
      </c>
      <c r="AW97" s="13">
        <f t="shared" si="107"/>
        <v>2.682926829268293E-2</v>
      </c>
    </row>
    <row r="98" spans="1:60" x14ac:dyDescent="0.3">
      <c r="B98" s="195">
        <v>4</v>
      </c>
      <c r="C98" s="144">
        <f t="shared" si="108"/>
        <v>1</v>
      </c>
      <c r="D98" s="195">
        <f t="shared" si="109"/>
        <v>0.42194092827004215</v>
      </c>
      <c r="E98" s="144">
        <f t="shared" si="73"/>
        <v>8</v>
      </c>
      <c r="F98" s="195">
        <f t="shared" si="109"/>
        <v>2.9411764705882351</v>
      </c>
      <c r="G98" s="144">
        <f t="shared" si="74"/>
        <v>0</v>
      </c>
      <c r="H98" s="195">
        <f t="shared" si="75"/>
        <v>0</v>
      </c>
      <c r="I98" s="144">
        <f t="shared" si="76"/>
        <v>42</v>
      </c>
      <c r="J98" s="195">
        <f t="shared" si="77"/>
        <v>16.600790513833992</v>
      </c>
      <c r="K98" s="144">
        <f t="shared" si="78"/>
        <v>7</v>
      </c>
      <c r="L98" s="195">
        <f t="shared" si="79"/>
        <v>3.804347826086957</v>
      </c>
      <c r="M98" s="144">
        <f t="shared" si="80"/>
        <v>0</v>
      </c>
      <c r="N98" s="195">
        <f t="shared" si="81"/>
        <v>0</v>
      </c>
      <c r="O98" s="144">
        <f t="shared" si="82"/>
        <v>3</v>
      </c>
      <c r="P98" s="195">
        <f t="shared" si="83"/>
        <v>1.0169491525423728</v>
      </c>
      <c r="Q98" s="144">
        <f t="shared" si="84"/>
        <v>13</v>
      </c>
      <c r="R98" s="195">
        <f t="shared" si="85"/>
        <v>3.1707317073170733</v>
      </c>
      <c r="T98" s="144">
        <f t="shared" si="86"/>
        <v>0.42194092827004215</v>
      </c>
      <c r="U98" s="144">
        <f t="shared" si="87"/>
        <v>2.9411764705882351</v>
      </c>
      <c r="V98" s="144">
        <f t="shared" si="88"/>
        <v>0</v>
      </c>
      <c r="W98" s="144">
        <f t="shared" si="89"/>
        <v>16.600790513833992</v>
      </c>
      <c r="X98" s="144">
        <f t="shared" si="90"/>
        <v>3.804347826086957</v>
      </c>
      <c r="Y98" s="144">
        <f t="shared" si="91"/>
        <v>0</v>
      </c>
      <c r="Z98" s="144">
        <f t="shared" si="92"/>
        <v>1.0169491525423728</v>
      </c>
      <c r="AA98" s="144">
        <f t="shared" si="93"/>
        <v>3.1707317073170733</v>
      </c>
      <c r="AC98" s="12">
        <f t="shared" si="94"/>
        <v>4.2194092827004216E-3</v>
      </c>
      <c r="AD98" s="12">
        <f t="shared" si="95"/>
        <v>2.9411764705882349E-2</v>
      </c>
      <c r="AE98" s="12">
        <f t="shared" si="96"/>
        <v>0</v>
      </c>
      <c r="AF98" s="12">
        <f t="shared" si="97"/>
        <v>0.16600790513833993</v>
      </c>
      <c r="AG98" s="12">
        <f t="shared" si="98"/>
        <v>3.8043478260869568E-2</v>
      </c>
      <c r="AH98" s="12">
        <f t="shared" si="99"/>
        <v>0</v>
      </c>
      <c r="AI98" s="12">
        <f t="shared" si="100"/>
        <v>1.0169491525423728E-2</v>
      </c>
      <c r="AJ98" s="12">
        <f t="shared" si="101"/>
        <v>3.1707317073170732E-2</v>
      </c>
      <c r="AL98" s="13">
        <f t="shared" si="102"/>
        <v>4.2194092827004216E-3</v>
      </c>
      <c r="AM98" s="13">
        <f t="shared" si="103"/>
        <v>4.2194092827004216E-3</v>
      </c>
      <c r="AN98" s="13">
        <f t="shared" si="104"/>
        <v>4.2194092827004216E-3</v>
      </c>
      <c r="AO98" s="13">
        <f t="shared" si="67"/>
        <v>2.9411764705882349E-2</v>
      </c>
      <c r="AP98" s="13">
        <f t="shared" si="68"/>
        <v>0</v>
      </c>
      <c r="AQ98" s="13">
        <f t="shared" si="69"/>
        <v>0.16600790513833993</v>
      </c>
      <c r="AR98" s="13">
        <f t="shared" si="70"/>
        <v>3.8043478260869568E-2</v>
      </c>
      <c r="AS98" s="13">
        <f t="shared" si="71"/>
        <v>0</v>
      </c>
      <c r="AT98" s="13">
        <f t="shared" si="72"/>
        <v>1.0169491525423728E-2</v>
      </c>
      <c r="AU98" s="13">
        <f t="shared" si="105"/>
        <v>3.1707317073170732E-2</v>
      </c>
      <c r="AV98" s="13">
        <f t="shared" si="106"/>
        <v>3.1707317073170732E-2</v>
      </c>
      <c r="AW98" s="13">
        <f t="shared" si="107"/>
        <v>3.1707317073170732E-2</v>
      </c>
    </row>
    <row r="99" spans="1:60" x14ac:dyDescent="0.3">
      <c r="B99" s="195">
        <v>3</v>
      </c>
      <c r="C99" s="144">
        <f t="shared" si="108"/>
        <v>9</v>
      </c>
      <c r="D99" s="195">
        <f t="shared" si="109"/>
        <v>3.79746835443038</v>
      </c>
      <c r="E99" s="144">
        <f t="shared" si="73"/>
        <v>13</v>
      </c>
      <c r="F99" s="195">
        <f t="shared" si="109"/>
        <v>4.7794117647058822</v>
      </c>
      <c r="G99" s="144">
        <f t="shared" si="74"/>
        <v>0</v>
      </c>
      <c r="H99" s="195">
        <f t="shared" si="75"/>
        <v>0</v>
      </c>
      <c r="I99" s="144">
        <f t="shared" si="76"/>
        <v>48</v>
      </c>
      <c r="J99" s="195">
        <f t="shared" si="77"/>
        <v>18.972332015810274</v>
      </c>
      <c r="K99" s="144">
        <f t="shared" si="78"/>
        <v>16</v>
      </c>
      <c r="L99" s="195">
        <f t="shared" si="79"/>
        <v>8.695652173913043</v>
      </c>
      <c r="M99" s="144">
        <f t="shared" si="80"/>
        <v>0</v>
      </c>
      <c r="N99" s="195">
        <f t="shared" si="81"/>
        <v>0</v>
      </c>
      <c r="O99" s="144">
        <f t="shared" si="82"/>
        <v>4</v>
      </c>
      <c r="P99" s="195">
        <f t="shared" si="83"/>
        <v>1.3559322033898304</v>
      </c>
      <c r="Q99" s="144">
        <f t="shared" si="84"/>
        <v>23</v>
      </c>
      <c r="R99" s="195">
        <f t="shared" si="85"/>
        <v>5.6097560975609762</v>
      </c>
      <c r="T99" s="144">
        <f t="shared" si="86"/>
        <v>3.79746835443038</v>
      </c>
      <c r="U99" s="144">
        <f t="shared" si="87"/>
        <v>4.7794117647058822</v>
      </c>
      <c r="V99" s="144">
        <f t="shared" si="88"/>
        <v>0</v>
      </c>
      <c r="W99" s="144">
        <f t="shared" si="89"/>
        <v>18.972332015810274</v>
      </c>
      <c r="X99" s="144">
        <f t="shared" si="90"/>
        <v>8.695652173913043</v>
      </c>
      <c r="Y99" s="144">
        <f t="shared" si="91"/>
        <v>0</v>
      </c>
      <c r="Z99" s="144">
        <f t="shared" si="92"/>
        <v>1.3559322033898304</v>
      </c>
      <c r="AA99" s="144">
        <f t="shared" si="93"/>
        <v>5.6097560975609762</v>
      </c>
      <c r="AC99" s="12">
        <f t="shared" si="94"/>
        <v>3.7974683544303799E-2</v>
      </c>
      <c r="AD99" s="12">
        <f t="shared" si="95"/>
        <v>4.779411764705882E-2</v>
      </c>
      <c r="AE99" s="12">
        <f t="shared" si="96"/>
        <v>0</v>
      </c>
      <c r="AF99" s="12">
        <f t="shared" si="97"/>
        <v>0.18972332015810273</v>
      </c>
      <c r="AG99" s="12">
        <f t="shared" si="98"/>
        <v>8.6956521739130432E-2</v>
      </c>
      <c r="AH99" s="12">
        <f t="shared" si="99"/>
        <v>0</v>
      </c>
      <c r="AI99" s="12">
        <f t="shared" si="100"/>
        <v>1.3559322033898305E-2</v>
      </c>
      <c r="AJ99" s="12">
        <f t="shared" si="101"/>
        <v>5.6097560975609764E-2</v>
      </c>
      <c r="AL99" s="13">
        <f t="shared" si="102"/>
        <v>3.7974683544303799E-2</v>
      </c>
      <c r="AM99" s="13">
        <f t="shared" si="103"/>
        <v>3.7974683544303799E-2</v>
      </c>
      <c r="AN99" s="13">
        <f t="shared" si="104"/>
        <v>3.7974683544303799E-2</v>
      </c>
      <c r="AO99" s="13">
        <f t="shared" si="67"/>
        <v>4.779411764705882E-2</v>
      </c>
      <c r="AP99" s="13">
        <f t="shared" si="68"/>
        <v>0</v>
      </c>
      <c r="AQ99" s="13">
        <f t="shared" si="69"/>
        <v>0.18972332015810273</v>
      </c>
      <c r="AR99" s="13">
        <f t="shared" si="70"/>
        <v>8.6956521739130432E-2</v>
      </c>
      <c r="AS99" s="13">
        <f t="shared" si="71"/>
        <v>0</v>
      </c>
      <c r="AT99" s="13">
        <f t="shared" si="72"/>
        <v>1.3559322033898305E-2</v>
      </c>
      <c r="AU99" s="13">
        <f t="shared" si="105"/>
        <v>5.6097560975609764E-2</v>
      </c>
      <c r="AV99" s="13">
        <f t="shared" si="106"/>
        <v>5.6097560975609764E-2</v>
      </c>
      <c r="AW99" s="13">
        <f t="shared" si="107"/>
        <v>5.6097560975609764E-2</v>
      </c>
    </row>
    <row r="100" spans="1:60" x14ac:dyDescent="0.3">
      <c r="B100" s="195">
        <v>2</v>
      </c>
      <c r="C100" s="144">
        <f t="shared" si="108"/>
        <v>39</v>
      </c>
      <c r="D100" s="195">
        <f t="shared" si="109"/>
        <v>16.455696202531644</v>
      </c>
      <c r="E100" s="144">
        <f t="shared" si="73"/>
        <v>24</v>
      </c>
      <c r="F100" s="195">
        <f t="shared" si="109"/>
        <v>8.8235294117647065</v>
      </c>
      <c r="G100" s="144">
        <f t="shared" si="74"/>
        <v>20</v>
      </c>
      <c r="H100" s="195">
        <f t="shared" si="75"/>
        <v>6.9930069930069934</v>
      </c>
      <c r="I100" s="144">
        <f t="shared" si="76"/>
        <v>57</v>
      </c>
      <c r="J100" s="195">
        <f t="shared" si="77"/>
        <v>22.529644268774703</v>
      </c>
      <c r="K100" s="144">
        <f t="shared" si="78"/>
        <v>25</v>
      </c>
      <c r="L100" s="195">
        <f t="shared" si="79"/>
        <v>13.586956521739129</v>
      </c>
      <c r="M100" s="144">
        <f t="shared" si="80"/>
        <v>6</v>
      </c>
      <c r="N100" s="195">
        <f t="shared" si="81"/>
        <v>2.1352313167259789</v>
      </c>
      <c r="O100" s="144">
        <f t="shared" si="82"/>
        <v>13</v>
      </c>
      <c r="P100" s="195">
        <f t="shared" si="83"/>
        <v>4.406779661016949</v>
      </c>
      <c r="Q100" s="144">
        <f t="shared" si="84"/>
        <v>38</v>
      </c>
      <c r="R100" s="195">
        <f t="shared" si="85"/>
        <v>9.2682926829268286</v>
      </c>
      <c r="T100" s="144">
        <f t="shared" si="86"/>
        <v>16.455696202531644</v>
      </c>
      <c r="U100" s="144">
        <f t="shared" si="87"/>
        <v>8.8235294117647065</v>
      </c>
      <c r="V100" s="144">
        <f t="shared" si="88"/>
        <v>6.9930069930069934</v>
      </c>
      <c r="W100" s="144">
        <f t="shared" si="89"/>
        <v>22.529644268774703</v>
      </c>
      <c r="X100" s="144">
        <f t="shared" si="90"/>
        <v>13.586956521739129</v>
      </c>
      <c r="Y100" s="144">
        <f t="shared" si="91"/>
        <v>2.1352313167259789</v>
      </c>
      <c r="Z100" s="144">
        <f t="shared" si="92"/>
        <v>4.406779661016949</v>
      </c>
      <c r="AA100" s="144">
        <f t="shared" si="93"/>
        <v>9.2682926829268286</v>
      </c>
      <c r="AC100" s="12">
        <f t="shared" si="94"/>
        <v>0.16455696202531644</v>
      </c>
      <c r="AD100" s="12">
        <f t="shared" si="95"/>
        <v>8.8235294117647065E-2</v>
      </c>
      <c r="AE100" s="12">
        <f t="shared" si="96"/>
        <v>6.9930069930069935E-2</v>
      </c>
      <c r="AF100" s="12">
        <f t="shared" si="97"/>
        <v>0.22529644268774704</v>
      </c>
      <c r="AG100" s="12">
        <f t="shared" si="98"/>
        <v>0.1358695652173913</v>
      </c>
      <c r="AH100" s="12">
        <f t="shared" si="99"/>
        <v>2.1352313167259787E-2</v>
      </c>
      <c r="AI100" s="12">
        <f t="shared" si="100"/>
        <v>4.4067796610169491E-2</v>
      </c>
      <c r="AJ100" s="12">
        <f t="shared" si="101"/>
        <v>9.2682926829268292E-2</v>
      </c>
      <c r="AL100" s="13">
        <f t="shared" si="102"/>
        <v>0.16455696202531644</v>
      </c>
      <c r="AM100" s="13">
        <f t="shared" si="103"/>
        <v>0.16455696202531644</v>
      </c>
      <c r="AN100" s="13">
        <f t="shared" si="104"/>
        <v>0.16455696202531644</v>
      </c>
      <c r="AO100" s="13">
        <f t="shared" si="67"/>
        <v>8.8235294117647065E-2</v>
      </c>
      <c r="AP100" s="13">
        <f t="shared" si="68"/>
        <v>6.9930069930069935E-2</v>
      </c>
      <c r="AQ100" s="13">
        <f t="shared" si="69"/>
        <v>0.22529644268774704</v>
      </c>
      <c r="AR100" s="13">
        <f t="shared" si="70"/>
        <v>0.1358695652173913</v>
      </c>
      <c r="AS100" s="13">
        <f t="shared" si="71"/>
        <v>2.1352313167259787E-2</v>
      </c>
      <c r="AT100" s="13">
        <f t="shared" si="72"/>
        <v>4.4067796610169491E-2</v>
      </c>
      <c r="AU100" s="13">
        <f t="shared" si="105"/>
        <v>9.2682926829268292E-2</v>
      </c>
      <c r="AV100" s="13">
        <f t="shared" si="106"/>
        <v>9.2682926829268292E-2</v>
      </c>
      <c r="AW100" s="13">
        <f t="shared" si="107"/>
        <v>9.2682926829268292E-2</v>
      </c>
    </row>
    <row r="101" spans="1:60" x14ac:dyDescent="0.3">
      <c r="B101" s="195">
        <v>1</v>
      </c>
      <c r="C101" s="144">
        <f t="shared" si="108"/>
        <v>96</v>
      </c>
      <c r="D101" s="195">
        <f t="shared" si="109"/>
        <v>40.506329113924053</v>
      </c>
      <c r="E101" s="144">
        <f t="shared" si="73"/>
        <v>65</v>
      </c>
      <c r="F101" s="195">
        <f t="shared" si="109"/>
        <v>23.897058823529413</v>
      </c>
      <c r="G101" s="144">
        <f t="shared" si="74"/>
        <v>62</v>
      </c>
      <c r="H101" s="195">
        <f t="shared" si="75"/>
        <v>21.678321678321677</v>
      </c>
      <c r="I101" s="144">
        <f t="shared" si="76"/>
        <v>77</v>
      </c>
      <c r="J101" s="195">
        <f t="shared" si="77"/>
        <v>30.434782608695656</v>
      </c>
      <c r="K101" s="144">
        <f t="shared" si="78"/>
        <v>56</v>
      </c>
      <c r="L101" s="195">
        <f t="shared" si="79"/>
        <v>30.434782608695656</v>
      </c>
      <c r="M101" s="144">
        <f t="shared" si="80"/>
        <v>56</v>
      </c>
      <c r="N101" s="195">
        <f t="shared" si="81"/>
        <v>19.9288256227758</v>
      </c>
      <c r="O101" s="144">
        <f t="shared" si="82"/>
        <v>62</v>
      </c>
      <c r="P101" s="195">
        <f t="shared" si="83"/>
        <v>21.01694915254237</v>
      </c>
      <c r="Q101" s="144">
        <f t="shared" si="84"/>
        <v>87</v>
      </c>
      <c r="R101" s="195">
        <f t="shared" si="85"/>
        <v>21.219512195121951</v>
      </c>
      <c r="T101" s="144">
        <f t="shared" si="86"/>
        <v>40.506329113924053</v>
      </c>
      <c r="U101" s="144">
        <f t="shared" si="87"/>
        <v>23.897058823529413</v>
      </c>
      <c r="V101" s="144">
        <f t="shared" si="88"/>
        <v>21.678321678321677</v>
      </c>
      <c r="W101" s="144">
        <f t="shared" si="89"/>
        <v>30.434782608695656</v>
      </c>
      <c r="X101" s="144">
        <f t="shared" si="90"/>
        <v>30.434782608695656</v>
      </c>
      <c r="Y101" s="144">
        <f t="shared" si="91"/>
        <v>19.9288256227758</v>
      </c>
      <c r="Z101" s="144">
        <f t="shared" si="92"/>
        <v>21.01694915254237</v>
      </c>
      <c r="AA101" s="144">
        <f t="shared" si="93"/>
        <v>21.219512195121951</v>
      </c>
      <c r="AC101" s="12">
        <f t="shared" si="94"/>
        <v>0.40506329113924056</v>
      </c>
      <c r="AD101" s="12">
        <f t="shared" si="95"/>
        <v>0.23897058823529413</v>
      </c>
      <c r="AE101" s="12">
        <f t="shared" si="96"/>
        <v>0.21678321678321677</v>
      </c>
      <c r="AF101" s="12">
        <f t="shared" si="97"/>
        <v>0.30434782608695654</v>
      </c>
      <c r="AG101" s="12">
        <f t="shared" si="98"/>
        <v>0.30434782608695654</v>
      </c>
      <c r="AH101" s="12">
        <f t="shared" si="99"/>
        <v>0.199288256227758</v>
      </c>
      <c r="AI101" s="12">
        <f t="shared" si="100"/>
        <v>0.21016949152542369</v>
      </c>
      <c r="AJ101" s="12">
        <f t="shared" si="101"/>
        <v>0.21219512195121951</v>
      </c>
      <c r="AL101" s="13">
        <f t="shared" si="102"/>
        <v>0.40506329113924056</v>
      </c>
      <c r="AM101" s="13">
        <f t="shared" si="103"/>
        <v>0.40506329113924056</v>
      </c>
      <c r="AN101" s="13">
        <f t="shared" si="104"/>
        <v>0.40506329113924056</v>
      </c>
      <c r="AO101" s="13">
        <f t="shared" si="67"/>
        <v>0.23897058823529413</v>
      </c>
      <c r="AP101" s="13">
        <f t="shared" si="68"/>
        <v>0.21678321678321677</v>
      </c>
      <c r="AQ101" s="13">
        <f t="shared" si="69"/>
        <v>0.30434782608695654</v>
      </c>
      <c r="AR101" s="13">
        <f t="shared" si="70"/>
        <v>0.30434782608695654</v>
      </c>
      <c r="AS101" s="13">
        <f t="shared" si="71"/>
        <v>0.199288256227758</v>
      </c>
      <c r="AT101" s="13">
        <f t="shared" si="72"/>
        <v>0.21016949152542369</v>
      </c>
      <c r="AU101" s="13">
        <f t="shared" si="105"/>
        <v>0.21219512195121951</v>
      </c>
      <c r="AV101" s="13">
        <f t="shared" si="106"/>
        <v>0.21219512195121951</v>
      </c>
      <c r="AW101" s="13">
        <f t="shared" si="107"/>
        <v>0.21219512195121951</v>
      </c>
    </row>
    <row r="103" spans="1:60" x14ac:dyDescent="0.3">
      <c r="A103" s="218"/>
      <c r="B103" s="218"/>
      <c r="C103" s="218"/>
      <c r="D103" s="218"/>
      <c r="E103" s="218" t="s">
        <v>56</v>
      </c>
      <c r="F103" s="218"/>
      <c r="G103" s="218"/>
      <c r="H103" s="218"/>
      <c r="I103" s="218"/>
      <c r="J103" s="218"/>
      <c r="K103" s="218"/>
      <c r="L103" s="218"/>
      <c r="M103" s="218"/>
      <c r="N103" s="218"/>
      <c r="O103" s="218"/>
      <c r="P103" s="218"/>
      <c r="Q103" s="218"/>
      <c r="R103" s="218"/>
      <c r="S103" s="218"/>
      <c r="T103" s="218"/>
      <c r="U103" s="218"/>
      <c r="V103" s="218"/>
      <c r="W103" s="218"/>
      <c r="X103" s="218"/>
      <c r="Y103" s="218"/>
      <c r="Z103" s="218"/>
      <c r="AA103" s="218"/>
      <c r="AB103" s="218"/>
      <c r="AI103" s="195">
        <v>1</v>
      </c>
      <c r="AK103" s="195">
        <v>2</v>
      </c>
      <c r="AM103" s="195">
        <v>3</v>
      </c>
      <c r="AO103" s="195">
        <v>4</v>
      </c>
      <c r="AQ103" s="195">
        <v>5</v>
      </c>
      <c r="AS103" s="195">
        <v>6</v>
      </c>
      <c r="AU103" s="195">
        <v>7</v>
      </c>
      <c r="AW103" s="195">
        <v>8</v>
      </c>
      <c r="AY103" s="195">
        <v>9</v>
      </c>
      <c r="BA103" s="195">
        <v>10</v>
      </c>
      <c r="BC103" s="195">
        <v>11</v>
      </c>
      <c r="BE103" s="195">
        <v>12</v>
      </c>
      <c r="BG103" s="195" t="s">
        <v>53</v>
      </c>
    </row>
    <row r="104" spans="1:60" x14ac:dyDescent="0.3">
      <c r="AG104" s="195" t="s">
        <v>57</v>
      </c>
      <c r="AH104" s="195" t="s">
        <v>50</v>
      </c>
      <c r="AJ104" s="195">
        <v>2</v>
      </c>
      <c r="AL104" s="195">
        <v>20</v>
      </c>
      <c r="AN104" s="195">
        <v>24</v>
      </c>
      <c r="AP104" s="195">
        <v>1</v>
      </c>
      <c r="AR104" s="195">
        <v>59</v>
      </c>
      <c r="AT104" s="195">
        <v>143</v>
      </c>
      <c r="AV104" s="195">
        <v>65</v>
      </c>
      <c r="AX104" s="195">
        <v>46</v>
      </c>
      <c r="AZ104" s="195">
        <v>48</v>
      </c>
      <c r="BB104" s="195">
        <v>4</v>
      </c>
      <c r="BD104" s="195">
        <v>13</v>
      </c>
      <c r="BF104" s="195">
        <v>3</v>
      </c>
    </row>
    <row r="105" spans="1:60" x14ac:dyDescent="0.3">
      <c r="B105" s="195" t="s">
        <v>44</v>
      </c>
      <c r="C105" s="195">
        <v>1</v>
      </c>
      <c r="E105" s="195">
        <v>2</v>
      </c>
      <c r="G105" s="195">
        <v>3</v>
      </c>
      <c r="I105" s="195">
        <v>4</v>
      </c>
      <c r="K105" s="195">
        <v>5</v>
      </c>
      <c r="M105" s="195">
        <v>6</v>
      </c>
      <c r="O105" s="195">
        <v>7</v>
      </c>
      <c r="Q105" s="195">
        <v>8</v>
      </c>
      <c r="S105" s="195">
        <v>9</v>
      </c>
      <c r="U105" s="195">
        <v>10</v>
      </c>
      <c r="W105" s="195">
        <v>11</v>
      </c>
      <c r="Y105" s="195">
        <v>12</v>
      </c>
      <c r="AA105" s="195" t="s">
        <v>51</v>
      </c>
      <c r="AH105" s="195">
        <v>20</v>
      </c>
      <c r="AI105" s="195">
        <v>0</v>
      </c>
      <c r="AJ105" s="195">
        <v>0</v>
      </c>
      <c r="AK105" s="195">
        <v>0</v>
      </c>
      <c r="AL105" s="195">
        <v>0</v>
      </c>
      <c r="AM105" s="195">
        <v>0</v>
      </c>
      <c r="AN105" s="195">
        <v>0</v>
      </c>
      <c r="AO105" s="195">
        <v>0</v>
      </c>
      <c r="AP105" s="195">
        <v>0</v>
      </c>
      <c r="AQ105" s="195">
        <v>0</v>
      </c>
      <c r="AR105" s="195">
        <v>0</v>
      </c>
      <c r="AS105" s="195">
        <v>0</v>
      </c>
      <c r="AT105" s="195">
        <v>0</v>
      </c>
      <c r="AU105" s="195">
        <v>0</v>
      </c>
      <c r="AV105" s="195">
        <v>0</v>
      </c>
      <c r="AW105" s="195">
        <v>0</v>
      </c>
      <c r="AX105" s="195">
        <v>0</v>
      </c>
      <c r="AY105" s="195">
        <v>0</v>
      </c>
      <c r="AZ105" s="195">
        <v>0</v>
      </c>
      <c r="BA105" s="195">
        <v>0</v>
      </c>
      <c r="BB105" s="195">
        <v>0</v>
      </c>
      <c r="BC105" s="195">
        <v>0</v>
      </c>
      <c r="BD105" s="195">
        <v>0</v>
      </c>
      <c r="BE105" s="195">
        <v>0</v>
      </c>
      <c r="BF105" s="195">
        <v>0</v>
      </c>
      <c r="BG105" s="195">
        <v>0</v>
      </c>
      <c r="BH105" s="195">
        <v>0</v>
      </c>
    </row>
    <row r="106" spans="1:60" x14ac:dyDescent="0.3">
      <c r="B106" s="195" t="s">
        <v>45</v>
      </c>
      <c r="C106" s="195" t="s">
        <v>81</v>
      </c>
      <c r="E106" s="195" t="s">
        <v>81</v>
      </c>
      <c r="G106" s="195" t="s">
        <v>81</v>
      </c>
      <c r="I106" s="195" t="s">
        <v>81</v>
      </c>
      <c r="K106" s="195" t="s">
        <v>81</v>
      </c>
      <c r="M106" s="195" t="s">
        <v>81</v>
      </c>
      <c r="O106" s="195" t="s">
        <v>81</v>
      </c>
      <c r="Q106" s="195" t="s">
        <v>81</v>
      </c>
      <c r="S106" s="195" t="s">
        <v>81</v>
      </c>
      <c r="U106" s="195" t="s">
        <v>81</v>
      </c>
      <c r="W106" s="195" t="s">
        <v>81</v>
      </c>
      <c r="Y106" s="195" t="s">
        <v>81</v>
      </c>
      <c r="AA106" s="195" t="s">
        <v>81</v>
      </c>
      <c r="AH106" s="195">
        <v>19</v>
      </c>
      <c r="AI106" s="195">
        <v>0</v>
      </c>
      <c r="AJ106" s="195">
        <v>0</v>
      </c>
      <c r="AK106" s="195">
        <v>0</v>
      </c>
      <c r="AL106" s="195">
        <v>0</v>
      </c>
      <c r="AM106" s="195">
        <v>0</v>
      </c>
      <c r="AN106" s="195">
        <v>0</v>
      </c>
      <c r="AO106" s="195">
        <v>0</v>
      </c>
      <c r="AP106" s="195">
        <v>0</v>
      </c>
      <c r="AQ106" s="195">
        <v>0</v>
      </c>
      <c r="AR106" s="195">
        <v>0</v>
      </c>
      <c r="AS106" s="195">
        <v>2.0979020979020979</v>
      </c>
      <c r="AT106" s="195">
        <v>3</v>
      </c>
      <c r="AU106" s="195">
        <v>0</v>
      </c>
      <c r="AV106" s="195">
        <v>0</v>
      </c>
      <c r="AW106" s="195">
        <v>0</v>
      </c>
      <c r="AX106" s="195">
        <v>0</v>
      </c>
      <c r="AY106" s="195">
        <v>0</v>
      </c>
      <c r="AZ106" s="195">
        <v>0</v>
      </c>
      <c r="BA106" s="195">
        <v>0</v>
      </c>
      <c r="BB106" s="195">
        <v>0</v>
      </c>
      <c r="BC106" s="195">
        <v>0</v>
      </c>
      <c r="BD106" s="195">
        <v>0</v>
      </c>
      <c r="BE106" s="195">
        <v>0</v>
      </c>
      <c r="BF106" s="195">
        <v>0</v>
      </c>
      <c r="BG106" s="195">
        <v>3</v>
      </c>
      <c r="BH106" s="195">
        <v>0.7009345794392523</v>
      </c>
    </row>
    <row r="107" spans="1:60" x14ac:dyDescent="0.3">
      <c r="A107" s="195" t="s">
        <v>57</v>
      </c>
      <c r="B107" s="195" t="s">
        <v>52</v>
      </c>
      <c r="C107" s="195">
        <f>AJ104</f>
        <v>2</v>
      </c>
      <c r="D107" s="195">
        <v>100</v>
      </c>
      <c r="E107" s="195">
        <f t="shared" ref="E107:E127" si="110">AL104</f>
        <v>20</v>
      </c>
      <c r="F107" s="195">
        <v>100</v>
      </c>
      <c r="G107" s="195">
        <f t="shared" ref="G107:G127" si="111">AN104</f>
        <v>24</v>
      </c>
      <c r="H107" s="195">
        <v>100</v>
      </c>
      <c r="I107" s="195">
        <f t="shared" ref="I107:I127" si="112">AP104</f>
        <v>1</v>
      </c>
      <c r="J107" s="195">
        <v>100</v>
      </c>
      <c r="K107" s="195">
        <f t="shared" ref="K107:K127" si="113">AR104</f>
        <v>59</v>
      </c>
      <c r="L107" s="195">
        <v>100</v>
      </c>
      <c r="M107" s="195">
        <f t="shared" ref="M107:M127" si="114">AT104</f>
        <v>143</v>
      </c>
      <c r="N107" s="195">
        <v>100</v>
      </c>
      <c r="O107" s="195">
        <f t="shared" ref="O107:O127" si="115">AV104</f>
        <v>65</v>
      </c>
      <c r="P107" s="195">
        <v>100</v>
      </c>
      <c r="Q107" s="195">
        <f t="shared" ref="Q107:Q127" si="116">AX104</f>
        <v>46</v>
      </c>
      <c r="R107" s="195">
        <v>100</v>
      </c>
      <c r="S107" s="195">
        <f t="shared" ref="S107:S127" si="117">AZ104</f>
        <v>48</v>
      </c>
      <c r="T107" s="195">
        <v>100</v>
      </c>
      <c r="U107" s="195">
        <f t="shared" ref="U107:U127" si="118">BB104</f>
        <v>4</v>
      </c>
      <c r="V107" s="195">
        <v>100</v>
      </c>
      <c r="W107" s="195">
        <f t="shared" ref="W107:W127" si="119">BD104</f>
        <v>13</v>
      </c>
      <c r="X107" s="195">
        <v>100</v>
      </c>
      <c r="Y107" s="195">
        <f t="shared" ref="Y107:Y127" si="120">BF104</f>
        <v>3</v>
      </c>
      <c r="Z107" s="195">
        <v>100</v>
      </c>
      <c r="AA107" s="195">
        <f>BG104</f>
        <v>0</v>
      </c>
      <c r="AB107" s="195">
        <f>BH104</f>
        <v>0</v>
      </c>
      <c r="AH107" s="195">
        <v>18</v>
      </c>
      <c r="AI107" s="195">
        <v>0</v>
      </c>
      <c r="AJ107" s="195">
        <v>0</v>
      </c>
      <c r="AK107" s="195">
        <v>0</v>
      </c>
      <c r="AL107" s="195">
        <v>0</v>
      </c>
      <c r="AM107" s="195">
        <v>0</v>
      </c>
      <c r="AN107" s="195">
        <v>0</v>
      </c>
      <c r="AO107" s="195">
        <v>0</v>
      </c>
      <c r="AP107" s="195">
        <v>0</v>
      </c>
      <c r="AQ107" s="195">
        <v>0</v>
      </c>
      <c r="AR107" s="195">
        <v>0</v>
      </c>
      <c r="AS107" s="195">
        <v>4.1958041958041958</v>
      </c>
      <c r="AT107" s="195">
        <v>6</v>
      </c>
      <c r="AU107" s="195">
        <v>0</v>
      </c>
      <c r="AV107" s="195">
        <v>0</v>
      </c>
      <c r="AW107" s="195">
        <v>0</v>
      </c>
      <c r="AX107" s="195">
        <v>0</v>
      </c>
      <c r="AY107" s="195">
        <v>0</v>
      </c>
      <c r="AZ107" s="195">
        <v>0</v>
      </c>
      <c r="BA107" s="195">
        <v>0</v>
      </c>
      <c r="BB107" s="195">
        <v>0</v>
      </c>
      <c r="BC107" s="195">
        <v>0</v>
      </c>
      <c r="BD107" s="195">
        <v>0</v>
      </c>
      <c r="BE107" s="195">
        <v>0</v>
      </c>
      <c r="BF107" s="195">
        <v>0</v>
      </c>
      <c r="BG107" s="195">
        <v>6</v>
      </c>
      <c r="BH107" s="195">
        <v>1.4018691588785046</v>
      </c>
    </row>
    <row r="108" spans="1:60" x14ac:dyDescent="0.3">
      <c r="B108" s="195">
        <v>20</v>
      </c>
      <c r="C108" s="195">
        <f t="shared" ref="C108:C127" si="121">AJ105</f>
        <v>0</v>
      </c>
      <c r="D108" s="195">
        <f t="shared" ref="D108:D127" si="122">AI105</f>
        <v>0</v>
      </c>
      <c r="E108" s="195">
        <f t="shared" si="110"/>
        <v>0</v>
      </c>
      <c r="F108" s="195">
        <f t="shared" ref="F108:F127" si="123">AK105</f>
        <v>0</v>
      </c>
      <c r="G108" s="195">
        <f t="shared" si="111"/>
        <v>0</v>
      </c>
      <c r="H108" s="195">
        <f t="shared" ref="H108:H127" si="124">AM105</f>
        <v>0</v>
      </c>
      <c r="I108" s="195">
        <f t="shared" si="112"/>
        <v>0</v>
      </c>
      <c r="J108" s="195">
        <f t="shared" ref="J108:J127" si="125">AO105</f>
        <v>0</v>
      </c>
      <c r="K108" s="195">
        <f t="shared" si="113"/>
        <v>0</v>
      </c>
      <c r="L108" s="195">
        <f t="shared" ref="L108:L127" si="126">AQ105</f>
        <v>0</v>
      </c>
      <c r="M108" s="195">
        <f t="shared" si="114"/>
        <v>0</v>
      </c>
      <c r="N108" s="195">
        <f t="shared" ref="N108:N127" si="127">AS105</f>
        <v>0</v>
      </c>
      <c r="O108" s="195">
        <f t="shared" si="115"/>
        <v>0</v>
      </c>
      <c r="P108" s="195">
        <f t="shared" ref="P108:P127" si="128">AU105</f>
        <v>0</v>
      </c>
      <c r="Q108" s="195">
        <f t="shared" si="116"/>
        <v>0</v>
      </c>
      <c r="R108" s="195">
        <f t="shared" ref="R108:R127" si="129">AW105</f>
        <v>0</v>
      </c>
      <c r="S108" s="195">
        <f t="shared" si="117"/>
        <v>0</v>
      </c>
      <c r="T108" s="195">
        <f t="shared" ref="T108:T127" si="130">AY105</f>
        <v>0</v>
      </c>
      <c r="U108" s="195">
        <f t="shared" si="118"/>
        <v>0</v>
      </c>
      <c r="V108" s="195">
        <f t="shared" ref="V108:V127" si="131">BA105</f>
        <v>0</v>
      </c>
      <c r="W108" s="195">
        <f t="shared" si="119"/>
        <v>0</v>
      </c>
      <c r="X108" s="195">
        <f t="shared" ref="X108:X127" si="132">BC105</f>
        <v>0</v>
      </c>
      <c r="Y108" s="195">
        <f t="shared" si="120"/>
        <v>0</v>
      </c>
      <c r="Z108" s="195">
        <f t="shared" ref="Z108:Z127" si="133">BE105</f>
        <v>0</v>
      </c>
      <c r="AA108" s="195">
        <f t="shared" ref="AA108:AA127" si="134">BG105</f>
        <v>0</v>
      </c>
      <c r="AB108" s="195">
        <f t="shared" ref="AB108:AB127" si="135">BH105</f>
        <v>0</v>
      </c>
      <c r="AH108" s="195">
        <v>17</v>
      </c>
      <c r="AI108" s="195">
        <v>0</v>
      </c>
      <c r="AJ108" s="195">
        <v>0</v>
      </c>
      <c r="AK108" s="195">
        <v>0</v>
      </c>
      <c r="AL108" s="195">
        <v>0</v>
      </c>
      <c r="AM108" s="195">
        <v>0</v>
      </c>
      <c r="AN108" s="195">
        <v>0</v>
      </c>
      <c r="AO108" s="195">
        <v>0</v>
      </c>
      <c r="AP108" s="195">
        <v>0</v>
      </c>
      <c r="AQ108" s="195">
        <v>0</v>
      </c>
      <c r="AR108" s="195">
        <v>0</v>
      </c>
      <c r="AS108" s="195">
        <v>6.2937062937062942</v>
      </c>
      <c r="AT108" s="195">
        <v>9</v>
      </c>
      <c r="AU108" s="195">
        <v>0</v>
      </c>
      <c r="AV108" s="195">
        <v>0</v>
      </c>
      <c r="AW108" s="195">
        <v>0</v>
      </c>
      <c r="AX108" s="195">
        <v>0</v>
      </c>
      <c r="AY108" s="195">
        <v>0</v>
      </c>
      <c r="AZ108" s="195">
        <v>0</v>
      </c>
      <c r="BA108" s="195">
        <v>0</v>
      </c>
      <c r="BB108" s="195">
        <v>0</v>
      </c>
      <c r="BC108" s="195">
        <v>0</v>
      </c>
      <c r="BD108" s="195">
        <v>0</v>
      </c>
      <c r="BE108" s="195">
        <v>0</v>
      </c>
      <c r="BF108" s="195">
        <v>0</v>
      </c>
      <c r="BG108" s="195">
        <v>9</v>
      </c>
      <c r="BH108" s="195">
        <v>2.1028037383177569</v>
      </c>
    </row>
    <row r="109" spans="1:60" x14ac:dyDescent="0.3">
      <c r="B109" s="195">
        <v>19</v>
      </c>
      <c r="C109" s="195">
        <f t="shared" si="121"/>
        <v>0</v>
      </c>
      <c r="D109" s="195">
        <f t="shared" si="122"/>
        <v>0</v>
      </c>
      <c r="E109" s="195">
        <f t="shared" si="110"/>
        <v>0</v>
      </c>
      <c r="F109" s="195">
        <f t="shared" si="123"/>
        <v>0</v>
      </c>
      <c r="G109" s="195">
        <f t="shared" si="111"/>
        <v>0</v>
      </c>
      <c r="H109" s="195">
        <f t="shared" si="124"/>
        <v>0</v>
      </c>
      <c r="I109" s="195">
        <f t="shared" si="112"/>
        <v>0</v>
      </c>
      <c r="J109" s="195">
        <f t="shared" si="125"/>
        <v>0</v>
      </c>
      <c r="K109" s="195">
        <f t="shared" si="113"/>
        <v>0</v>
      </c>
      <c r="L109" s="195">
        <f t="shared" si="126"/>
        <v>0</v>
      </c>
      <c r="M109" s="195">
        <f t="shared" si="114"/>
        <v>3</v>
      </c>
      <c r="N109" s="195">
        <f t="shared" si="127"/>
        <v>2.0979020979020979</v>
      </c>
      <c r="O109" s="195">
        <f t="shared" si="115"/>
        <v>0</v>
      </c>
      <c r="P109" s="195">
        <f t="shared" si="128"/>
        <v>0</v>
      </c>
      <c r="Q109" s="195">
        <f t="shared" si="116"/>
        <v>0</v>
      </c>
      <c r="R109" s="195">
        <f t="shared" si="129"/>
        <v>0</v>
      </c>
      <c r="S109" s="195">
        <f t="shared" si="117"/>
        <v>0</v>
      </c>
      <c r="T109" s="195">
        <f t="shared" si="130"/>
        <v>0</v>
      </c>
      <c r="U109" s="195">
        <f t="shared" si="118"/>
        <v>0</v>
      </c>
      <c r="V109" s="195">
        <f t="shared" si="131"/>
        <v>0</v>
      </c>
      <c r="W109" s="195">
        <f t="shared" si="119"/>
        <v>0</v>
      </c>
      <c r="X109" s="195">
        <f t="shared" si="132"/>
        <v>0</v>
      </c>
      <c r="Y109" s="195">
        <f t="shared" si="120"/>
        <v>0</v>
      </c>
      <c r="Z109" s="195">
        <f t="shared" si="133"/>
        <v>0</v>
      </c>
      <c r="AA109" s="195">
        <f t="shared" si="134"/>
        <v>3</v>
      </c>
      <c r="AB109" s="195">
        <f t="shared" si="135"/>
        <v>0.7009345794392523</v>
      </c>
      <c r="AH109" s="195">
        <v>16</v>
      </c>
      <c r="AI109" s="195">
        <v>0</v>
      </c>
      <c r="AJ109" s="195">
        <v>0</v>
      </c>
      <c r="AK109" s="195">
        <v>0</v>
      </c>
      <c r="AL109" s="195">
        <v>0</v>
      </c>
      <c r="AM109" s="195">
        <v>0</v>
      </c>
      <c r="AN109" s="195">
        <v>0</v>
      </c>
      <c r="AO109" s="195">
        <v>0</v>
      </c>
      <c r="AP109" s="195">
        <v>0</v>
      </c>
      <c r="AQ109" s="195">
        <v>0</v>
      </c>
      <c r="AR109" s="195">
        <v>0</v>
      </c>
      <c r="AS109" s="195">
        <v>8.3916083916083917</v>
      </c>
      <c r="AT109" s="195">
        <v>12</v>
      </c>
      <c r="AU109" s="195">
        <v>0</v>
      </c>
      <c r="AV109" s="195">
        <v>0</v>
      </c>
      <c r="AW109" s="195">
        <v>0</v>
      </c>
      <c r="AX109" s="195">
        <v>0</v>
      </c>
      <c r="AY109" s="195">
        <v>0</v>
      </c>
      <c r="AZ109" s="195">
        <v>0</v>
      </c>
      <c r="BA109" s="195">
        <v>0</v>
      </c>
      <c r="BB109" s="195">
        <v>0</v>
      </c>
      <c r="BC109" s="195">
        <v>0</v>
      </c>
      <c r="BD109" s="195">
        <v>0</v>
      </c>
      <c r="BE109" s="195">
        <v>0</v>
      </c>
      <c r="BF109" s="195">
        <v>0</v>
      </c>
      <c r="BG109" s="195">
        <v>12</v>
      </c>
      <c r="BH109" s="195">
        <v>2.8037383177570092</v>
      </c>
    </row>
    <row r="110" spans="1:60" x14ac:dyDescent="0.3">
      <c r="B110" s="195">
        <v>18</v>
      </c>
      <c r="C110" s="195">
        <f t="shared" si="121"/>
        <v>0</v>
      </c>
      <c r="D110" s="195">
        <f t="shared" si="122"/>
        <v>0</v>
      </c>
      <c r="E110" s="195">
        <f t="shared" si="110"/>
        <v>0</v>
      </c>
      <c r="F110" s="195">
        <f t="shared" si="123"/>
        <v>0</v>
      </c>
      <c r="G110" s="195">
        <f t="shared" si="111"/>
        <v>0</v>
      </c>
      <c r="H110" s="195">
        <f t="shared" si="124"/>
        <v>0</v>
      </c>
      <c r="I110" s="195">
        <f t="shared" si="112"/>
        <v>0</v>
      </c>
      <c r="J110" s="195">
        <f t="shared" si="125"/>
        <v>0</v>
      </c>
      <c r="K110" s="195">
        <f t="shared" si="113"/>
        <v>0</v>
      </c>
      <c r="L110" s="195">
        <f t="shared" si="126"/>
        <v>0</v>
      </c>
      <c r="M110" s="195">
        <f t="shared" si="114"/>
        <v>6</v>
      </c>
      <c r="N110" s="195">
        <f t="shared" si="127"/>
        <v>4.1958041958041958</v>
      </c>
      <c r="O110" s="195">
        <f t="shared" si="115"/>
        <v>0</v>
      </c>
      <c r="P110" s="195">
        <f t="shared" si="128"/>
        <v>0</v>
      </c>
      <c r="Q110" s="195">
        <f t="shared" si="116"/>
        <v>0</v>
      </c>
      <c r="R110" s="195">
        <f t="shared" si="129"/>
        <v>0</v>
      </c>
      <c r="S110" s="195">
        <f t="shared" si="117"/>
        <v>0</v>
      </c>
      <c r="T110" s="195">
        <f t="shared" si="130"/>
        <v>0</v>
      </c>
      <c r="U110" s="195">
        <f t="shared" si="118"/>
        <v>0</v>
      </c>
      <c r="V110" s="195">
        <f t="shared" si="131"/>
        <v>0</v>
      </c>
      <c r="W110" s="195">
        <f t="shared" si="119"/>
        <v>0</v>
      </c>
      <c r="X110" s="195">
        <f t="shared" si="132"/>
        <v>0</v>
      </c>
      <c r="Y110" s="195">
        <f t="shared" si="120"/>
        <v>0</v>
      </c>
      <c r="Z110" s="195">
        <f t="shared" si="133"/>
        <v>0</v>
      </c>
      <c r="AA110" s="195">
        <f t="shared" si="134"/>
        <v>6</v>
      </c>
      <c r="AB110" s="195">
        <f t="shared" si="135"/>
        <v>1.4018691588785046</v>
      </c>
      <c r="AH110" s="195">
        <v>15</v>
      </c>
      <c r="AI110" s="195">
        <v>0</v>
      </c>
      <c r="AJ110" s="195">
        <v>0</v>
      </c>
      <c r="AK110" s="195">
        <v>0</v>
      </c>
      <c r="AL110" s="195">
        <v>0</v>
      </c>
      <c r="AM110" s="195">
        <v>0</v>
      </c>
      <c r="AN110" s="195">
        <v>0</v>
      </c>
      <c r="AO110" s="195">
        <v>0</v>
      </c>
      <c r="AP110" s="195">
        <v>0</v>
      </c>
      <c r="AQ110" s="195">
        <v>0</v>
      </c>
      <c r="AR110" s="195">
        <v>0</v>
      </c>
      <c r="AS110" s="195">
        <v>10.48951048951049</v>
      </c>
      <c r="AT110" s="195">
        <v>15</v>
      </c>
      <c r="AU110" s="195">
        <v>0</v>
      </c>
      <c r="AV110" s="195">
        <v>0</v>
      </c>
      <c r="AW110" s="195">
        <v>0</v>
      </c>
      <c r="AX110" s="195">
        <v>0</v>
      </c>
      <c r="AY110" s="195">
        <v>0</v>
      </c>
      <c r="AZ110" s="195">
        <v>0</v>
      </c>
      <c r="BA110" s="195">
        <v>0</v>
      </c>
      <c r="BB110" s="195">
        <v>0</v>
      </c>
      <c r="BC110" s="195">
        <v>0</v>
      </c>
      <c r="BD110" s="195">
        <v>0</v>
      </c>
      <c r="BE110" s="195">
        <v>0</v>
      </c>
      <c r="BF110" s="195">
        <v>0</v>
      </c>
      <c r="BG110" s="195">
        <v>15</v>
      </c>
      <c r="BH110" s="195">
        <v>3.5046728971962615</v>
      </c>
    </row>
    <row r="111" spans="1:60" x14ac:dyDescent="0.3">
      <c r="B111" s="195">
        <v>17</v>
      </c>
      <c r="C111" s="195">
        <f t="shared" si="121"/>
        <v>0</v>
      </c>
      <c r="D111" s="195">
        <f t="shared" si="122"/>
        <v>0</v>
      </c>
      <c r="E111" s="195">
        <f t="shared" si="110"/>
        <v>0</v>
      </c>
      <c r="F111" s="195">
        <f t="shared" si="123"/>
        <v>0</v>
      </c>
      <c r="G111" s="195">
        <f t="shared" si="111"/>
        <v>0</v>
      </c>
      <c r="H111" s="195">
        <f t="shared" si="124"/>
        <v>0</v>
      </c>
      <c r="I111" s="195">
        <f t="shared" si="112"/>
        <v>0</v>
      </c>
      <c r="J111" s="195">
        <f t="shared" si="125"/>
        <v>0</v>
      </c>
      <c r="K111" s="195">
        <f t="shared" si="113"/>
        <v>0</v>
      </c>
      <c r="L111" s="195">
        <f t="shared" si="126"/>
        <v>0</v>
      </c>
      <c r="M111" s="195">
        <f t="shared" si="114"/>
        <v>9</v>
      </c>
      <c r="N111" s="195">
        <f t="shared" si="127"/>
        <v>6.2937062937062942</v>
      </c>
      <c r="O111" s="195">
        <f t="shared" si="115"/>
        <v>0</v>
      </c>
      <c r="P111" s="195">
        <f t="shared" si="128"/>
        <v>0</v>
      </c>
      <c r="Q111" s="195">
        <f t="shared" si="116"/>
        <v>0</v>
      </c>
      <c r="R111" s="195">
        <f t="shared" si="129"/>
        <v>0</v>
      </c>
      <c r="S111" s="195">
        <f t="shared" si="117"/>
        <v>0</v>
      </c>
      <c r="T111" s="195">
        <f t="shared" si="130"/>
        <v>0</v>
      </c>
      <c r="U111" s="195">
        <f t="shared" si="118"/>
        <v>0</v>
      </c>
      <c r="V111" s="195">
        <f t="shared" si="131"/>
        <v>0</v>
      </c>
      <c r="W111" s="195">
        <f t="shared" si="119"/>
        <v>0</v>
      </c>
      <c r="X111" s="195">
        <f t="shared" si="132"/>
        <v>0</v>
      </c>
      <c r="Y111" s="195">
        <f t="shared" si="120"/>
        <v>0</v>
      </c>
      <c r="Z111" s="195">
        <f t="shared" si="133"/>
        <v>0</v>
      </c>
      <c r="AA111" s="195">
        <f t="shared" si="134"/>
        <v>9</v>
      </c>
      <c r="AB111" s="195">
        <f t="shared" si="135"/>
        <v>2.1028037383177569</v>
      </c>
      <c r="AH111" s="195">
        <v>14</v>
      </c>
      <c r="AI111" s="195">
        <v>0</v>
      </c>
      <c r="AJ111" s="195">
        <v>0</v>
      </c>
      <c r="AK111" s="195">
        <v>0</v>
      </c>
      <c r="AL111" s="195">
        <v>0</v>
      </c>
      <c r="AM111" s="195">
        <v>0</v>
      </c>
      <c r="AN111" s="195">
        <v>0</v>
      </c>
      <c r="AO111" s="195">
        <v>0</v>
      </c>
      <c r="AP111" s="195">
        <v>0</v>
      </c>
      <c r="AQ111" s="195">
        <v>0</v>
      </c>
      <c r="AR111" s="195">
        <v>0</v>
      </c>
      <c r="AS111" s="195">
        <v>12.587412587412588</v>
      </c>
      <c r="AT111" s="195">
        <v>18</v>
      </c>
      <c r="AU111" s="195">
        <v>0</v>
      </c>
      <c r="AV111" s="195">
        <v>0</v>
      </c>
      <c r="AW111" s="195">
        <v>0</v>
      </c>
      <c r="AX111" s="195">
        <v>0</v>
      </c>
      <c r="AY111" s="195">
        <v>0</v>
      </c>
      <c r="AZ111" s="195">
        <v>0</v>
      </c>
      <c r="BA111" s="195">
        <v>0</v>
      </c>
      <c r="BB111" s="195">
        <v>0</v>
      </c>
      <c r="BC111" s="195">
        <v>0</v>
      </c>
      <c r="BD111" s="195">
        <v>0</v>
      </c>
      <c r="BE111" s="195">
        <v>0</v>
      </c>
      <c r="BF111" s="195">
        <v>0</v>
      </c>
      <c r="BG111" s="195">
        <v>18</v>
      </c>
      <c r="BH111" s="195">
        <v>4.2056074766355138</v>
      </c>
    </row>
    <row r="112" spans="1:60" x14ac:dyDescent="0.3">
      <c r="B112" s="195">
        <v>16</v>
      </c>
      <c r="C112" s="195">
        <f t="shared" si="121"/>
        <v>0</v>
      </c>
      <c r="D112" s="195">
        <f t="shared" si="122"/>
        <v>0</v>
      </c>
      <c r="E112" s="195">
        <f t="shared" si="110"/>
        <v>0</v>
      </c>
      <c r="F112" s="195">
        <f t="shared" si="123"/>
        <v>0</v>
      </c>
      <c r="G112" s="195">
        <f t="shared" si="111"/>
        <v>0</v>
      </c>
      <c r="H112" s="195">
        <f t="shared" si="124"/>
        <v>0</v>
      </c>
      <c r="I112" s="195">
        <f t="shared" si="112"/>
        <v>0</v>
      </c>
      <c r="J112" s="195">
        <f t="shared" si="125"/>
        <v>0</v>
      </c>
      <c r="K112" s="195">
        <f t="shared" si="113"/>
        <v>0</v>
      </c>
      <c r="L112" s="195">
        <f t="shared" si="126"/>
        <v>0</v>
      </c>
      <c r="M112" s="195">
        <f t="shared" si="114"/>
        <v>12</v>
      </c>
      <c r="N112" s="195">
        <f t="shared" si="127"/>
        <v>8.3916083916083917</v>
      </c>
      <c r="O112" s="195">
        <f t="shared" si="115"/>
        <v>0</v>
      </c>
      <c r="P112" s="195">
        <f t="shared" si="128"/>
        <v>0</v>
      </c>
      <c r="Q112" s="195">
        <f t="shared" si="116"/>
        <v>0</v>
      </c>
      <c r="R112" s="195">
        <f t="shared" si="129"/>
        <v>0</v>
      </c>
      <c r="S112" s="195">
        <f t="shared" si="117"/>
        <v>0</v>
      </c>
      <c r="T112" s="195">
        <f t="shared" si="130"/>
        <v>0</v>
      </c>
      <c r="U112" s="195">
        <f t="shared" si="118"/>
        <v>0</v>
      </c>
      <c r="V112" s="195">
        <f t="shared" si="131"/>
        <v>0</v>
      </c>
      <c r="W112" s="195">
        <f t="shared" si="119"/>
        <v>0</v>
      </c>
      <c r="X112" s="195">
        <f t="shared" si="132"/>
        <v>0</v>
      </c>
      <c r="Y112" s="195">
        <f t="shared" si="120"/>
        <v>0</v>
      </c>
      <c r="Z112" s="195">
        <f t="shared" si="133"/>
        <v>0</v>
      </c>
      <c r="AA112" s="195">
        <f t="shared" si="134"/>
        <v>12</v>
      </c>
      <c r="AB112" s="195">
        <f t="shared" si="135"/>
        <v>2.8037383177570092</v>
      </c>
      <c r="AH112" s="195">
        <v>13</v>
      </c>
      <c r="AI112" s="195">
        <v>0</v>
      </c>
      <c r="AJ112" s="195">
        <v>0</v>
      </c>
      <c r="AK112" s="195">
        <v>0</v>
      </c>
      <c r="AL112" s="195">
        <v>0</v>
      </c>
      <c r="AM112" s="195">
        <v>0</v>
      </c>
      <c r="AN112" s="195">
        <v>0</v>
      </c>
      <c r="AO112" s="195">
        <v>0</v>
      </c>
      <c r="AP112" s="195">
        <v>0</v>
      </c>
      <c r="AQ112" s="195">
        <v>0</v>
      </c>
      <c r="AR112" s="195">
        <v>0</v>
      </c>
      <c r="AS112" s="195">
        <v>14.685314685314685</v>
      </c>
      <c r="AT112" s="195">
        <v>21</v>
      </c>
      <c r="AU112" s="195">
        <v>0</v>
      </c>
      <c r="AV112" s="195">
        <v>0</v>
      </c>
      <c r="AW112" s="195">
        <v>0</v>
      </c>
      <c r="AX112" s="195">
        <v>0</v>
      </c>
      <c r="AY112" s="195">
        <v>0</v>
      </c>
      <c r="AZ112" s="195">
        <v>0</v>
      </c>
      <c r="BA112" s="195">
        <v>0</v>
      </c>
      <c r="BB112" s="195">
        <v>0</v>
      </c>
      <c r="BC112" s="195">
        <v>0</v>
      </c>
      <c r="BD112" s="195">
        <v>0</v>
      </c>
      <c r="BE112" s="195">
        <v>0</v>
      </c>
      <c r="BF112" s="195">
        <v>0</v>
      </c>
      <c r="BG112" s="195">
        <v>21</v>
      </c>
      <c r="BH112" s="195">
        <v>4.9065420560747661</v>
      </c>
    </row>
    <row r="113" spans="2:60" x14ac:dyDescent="0.3">
      <c r="B113" s="195">
        <v>15</v>
      </c>
      <c r="C113" s="195">
        <f t="shared" si="121"/>
        <v>0</v>
      </c>
      <c r="D113" s="195">
        <f t="shared" si="122"/>
        <v>0</v>
      </c>
      <c r="E113" s="195">
        <f t="shared" si="110"/>
        <v>0</v>
      </c>
      <c r="F113" s="195">
        <f t="shared" si="123"/>
        <v>0</v>
      </c>
      <c r="G113" s="195">
        <f t="shared" si="111"/>
        <v>0</v>
      </c>
      <c r="H113" s="195">
        <f t="shared" si="124"/>
        <v>0</v>
      </c>
      <c r="I113" s="195">
        <f t="shared" si="112"/>
        <v>0</v>
      </c>
      <c r="J113" s="195">
        <f t="shared" si="125"/>
        <v>0</v>
      </c>
      <c r="K113" s="195">
        <f t="shared" si="113"/>
        <v>0</v>
      </c>
      <c r="L113" s="195">
        <f t="shared" si="126"/>
        <v>0</v>
      </c>
      <c r="M113" s="195">
        <f t="shared" si="114"/>
        <v>15</v>
      </c>
      <c r="N113" s="195">
        <f t="shared" si="127"/>
        <v>10.48951048951049</v>
      </c>
      <c r="O113" s="195">
        <f t="shared" si="115"/>
        <v>0</v>
      </c>
      <c r="P113" s="195">
        <f t="shared" si="128"/>
        <v>0</v>
      </c>
      <c r="Q113" s="195">
        <f t="shared" si="116"/>
        <v>0</v>
      </c>
      <c r="R113" s="195">
        <f t="shared" si="129"/>
        <v>0</v>
      </c>
      <c r="S113" s="195">
        <f t="shared" si="117"/>
        <v>0</v>
      </c>
      <c r="T113" s="195">
        <f t="shared" si="130"/>
        <v>0</v>
      </c>
      <c r="U113" s="195">
        <f t="shared" si="118"/>
        <v>0</v>
      </c>
      <c r="V113" s="195">
        <f t="shared" si="131"/>
        <v>0</v>
      </c>
      <c r="W113" s="195">
        <f t="shared" si="119"/>
        <v>0</v>
      </c>
      <c r="X113" s="195">
        <f t="shared" si="132"/>
        <v>0</v>
      </c>
      <c r="Y113" s="195">
        <f t="shared" si="120"/>
        <v>0</v>
      </c>
      <c r="Z113" s="195">
        <f t="shared" si="133"/>
        <v>0</v>
      </c>
      <c r="AA113" s="195">
        <f t="shared" si="134"/>
        <v>15</v>
      </c>
      <c r="AB113" s="195">
        <f t="shared" si="135"/>
        <v>3.5046728971962615</v>
      </c>
      <c r="AH113" s="195">
        <v>12</v>
      </c>
      <c r="AI113" s="195">
        <v>0</v>
      </c>
      <c r="AJ113" s="195">
        <v>0</v>
      </c>
      <c r="AK113" s="195">
        <v>0</v>
      </c>
      <c r="AL113" s="195">
        <v>0</v>
      </c>
      <c r="AM113" s="195">
        <v>0</v>
      </c>
      <c r="AN113" s="195">
        <v>0</v>
      </c>
      <c r="AO113" s="195">
        <v>0</v>
      </c>
      <c r="AP113" s="195">
        <v>0</v>
      </c>
      <c r="AQ113" s="195">
        <v>0</v>
      </c>
      <c r="AR113" s="195">
        <v>0</v>
      </c>
      <c r="AS113" s="195">
        <v>16.783216783216783</v>
      </c>
      <c r="AT113" s="195">
        <v>24</v>
      </c>
      <c r="AU113" s="195">
        <v>0</v>
      </c>
      <c r="AV113" s="195">
        <v>0</v>
      </c>
      <c r="AW113" s="195">
        <v>0</v>
      </c>
      <c r="AX113" s="195">
        <v>0</v>
      </c>
      <c r="AY113" s="195">
        <v>0</v>
      </c>
      <c r="AZ113" s="195">
        <v>0</v>
      </c>
      <c r="BA113" s="195">
        <v>0</v>
      </c>
      <c r="BB113" s="195">
        <v>0</v>
      </c>
      <c r="BC113" s="195">
        <v>0</v>
      </c>
      <c r="BD113" s="195">
        <v>0</v>
      </c>
      <c r="BE113" s="195">
        <v>0</v>
      </c>
      <c r="BF113" s="195">
        <v>0</v>
      </c>
      <c r="BG113" s="195">
        <v>24</v>
      </c>
      <c r="BH113" s="195">
        <v>5.6074766355140184</v>
      </c>
    </row>
    <row r="114" spans="2:60" x14ac:dyDescent="0.3">
      <c r="B114" s="195">
        <v>14</v>
      </c>
      <c r="C114" s="195">
        <f t="shared" si="121"/>
        <v>0</v>
      </c>
      <c r="D114" s="195">
        <f t="shared" si="122"/>
        <v>0</v>
      </c>
      <c r="E114" s="195">
        <f t="shared" si="110"/>
        <v>0</v>
      </c>
      <c r="F114" s="195">
        <f t="shared" si="123"/>
        <v>0</v>
      </c>
      <c r="G114" s="195">
        <f t="shared" si="111"/>
        <v>0</v>
      </c>
      <c r="H114" s="195">
        <f t="shared" si="124"/>
        <v>0</v>
      </c>
      <c r="I114" s="195">
        <f t="shared" si="112"/>
        <v>0</v>
      </c>
      <c r="J114" s="195">
        <f t="shared" si="125"/>
        <v>0</v>
      </c>
      <c r="K114" s="195">
        <f t="shared" si="113"/>
        <v>0</v>
      </c>
      <c r="L114" s="195">
        <f t="shared" si="126"/>
        <v>0</v>
      </c>
      <c r="M114" s="195">
        <f t="shared" si="114"/>
        <v>18</v>
      </c>
      <c r="N114" s="195">
        <f t="shared" si="127"/>
        <v>12.587412587412588</v>
      </c>
      <c r="O114" s="195">
        <f t="shared" si="115"/>
        <v>0</v>
      </c>
      <c r="P114" s="195">
        <f t="shared" si="128"/>
        <v>0</v>
      </c>
      <c r="Q114" s="195">
        <f t="shared" si="116"/>
        <v>0</v>
      </c>
      <c r="R114" s="195">
        <f t="shared" si="129"/>
        <v>0</v>
      </c>
      <c r="S114" s="195">
        <f t="shared" si="117"/>
        <v>0</v>
      </c>
      <c r="T114" s="195">
        <f t="shared" si="130"/>
        <v>0</v>
      </c>
      <c r="U114" s="195">
        <f t="shared" si="118"/>
        <v>0</v>
      </c>
      <c r="V114" s="195">
        <f t="shared" si="131"/>
        <v>0</v>
      </c>
      <c r="W114" s="195">
        <f t="shared" si="119"/>
        <v>0</v>
      </c>
      <c r="X114" s="195">
        <f t="shared" si="132"/>
        <v>0</v>
      </c>
      <c r="Y114" s="195">
        <f t="shared" si="120"/>
        <v>0</v>
      </c>
      <c r="Z114" s="195">
        <f t="shared" si="133"/>
        <v>0</v>
      </c>
      <c r="AA114" s="195">
        <f t="shared" si="134"/>
        <v>18</v>
      </c>
      <c r="AB114" s="195">
        <f t="shared" si="135"/>
        <v>4.2056074766355138</v>
      </c>
      <c r="AH114" s="195">
        <v>11</v>
      </c>
      <c r="AI114" s="195">
        <v>0</v>
      </c>
      <c r="AJ114" s="195">
        <v>0</v>
      </c>
      <c r="AK114" s="195">
        <v>0</v>
      </c>
      <c r="AL114" s="195">
        <v>0</v>
      </c>
      <c r="AM114" s="195">
        <v>4.1666666666666661</v>
      </c>
      <c r="AN114" s="195">
        <v>1</v>
      </c>
      <c r="AO114" s="195">
        <v>0</v>
      </c>
      <c r="AP114" s="195">
        <v>0</v>
      </c>
      <c r="AQ114" s="195">
        <v>0</v>
      </c>
      <c r="AR114" s="195">
        <v>0</v>
      </c>
      <c r="AS114" s="195">
        <v>18.88111888111888</v>
      </c>
      <c r="AT114" s="195">
        <v>27</v>
      </c>
      <c r="AU114" s="195">
        <v>0</v>
      </c>
      <c r="AV114" s="195">
        <v>0</v>
      </c>
      <c r="AW114" s="195">
        <v>0</v>
      </c>
      <c r="AX114" s="195">
        <v>0</v>
      </c>
      <c r="AY114" s="195">
        <v>0</v>
      </c>
      <c r="AZ114" s="195">
        <v>0</v>
      </c>
      <c r="BA114" s="195">
        <v>0</v>
      </c>
      <c r="BB114" s="195">
        <v>0</v>
      </c>
      <c r="BC114" s="195">
        <v>0</v>
      </c>
      <c r="BD114" s="195">
        <v>0</v>
      </c>
      <c r="BE114" s="195">
        <v>0</v>
      </c>
      <c r="BF114" s="195">
        <v>0</v>
      </c>
      <c r="BG114" s="195">
        <v>28</v>
      </c>
      <c r="BH114" s="195">
        <v>6.5420560747663545</v>
      </c>
    </row>
    <row r="115" spans="2:60" x14ac:dyDescent="0.3">
      <c r="B115" s="195">
        <v>13</v>
      </c>
      <c r="C115" s="195">
        <f t="shared" si="121"/>
        <v>0</v>
      </c>
      <c r="D115" s="195">
        <f t="shared" si="122"/>
        <v>0</v>
      </c>
      <c r="E115" s="195">
        <f t="shared" si="110"/>
        <v>0</v>
      </c>
      <c r="F115" s="195">
        <f t="shared" si="123"/>
        <v>0</v>
      </c>
      <c r="G115" s="195">
        <f t="shared" si="111"/>
        <v>0</v>
      </c>
      <c r="H115" s="195">
        <f t="shared" si="124"/>
        <v>0</v>
      </c>
      <c r="I115" s="195">
        <f t="shared" si="112"/>
        <v>0</v>
      </c>
      <c r="J115" s="195">
        <f t="shared" si="125"/>
        <v>0</v>
      </c>
      <c r="K115" s="195">
        <f t="shared" si="113"/>
        <v>0</v>
      </c>
      <c r="L115" s="195">
        <f t="shared" si="126"/>
        <v>0</v>
      </c>
      <c r="M115" s="195">
        <f t="shared" si="114"/>
        <v>21</v>
      </c>
      <c r="N115" s="195">
        <f t="shared" si="127"/>
        <v>14.685314685314685</v>
      </c>
      <c r="O115" s="195">
        <f t="shared" si="115"/>
        <v>0</v>
      </c>
      <c r="P115" s="195">
        <f t="shared" si="128"/>
        <v>0</v>
      </c>
      <c r="Q115" s="195">
        <f t="shared" si="116"/>
        <v>0</v>
      </c>
      <c r="R115" s="195">
        <f t="shared" si="129"/>
        <v>0</v>
      </c>
      <c r="S115" s="195">
        <f t="shared" si="117"/>
        <v>0</v>
      </c>
      <c r="T115" s="195">
        <f t="shared" si="130"/>
        <v>0</v>
      </c>
      <c r="U115" s="195">
        <f t="shared" si="118"/>
        <v>0</v>
      </c>
      <c r="V115" s="195">
        <f t="shared" si="131"/>
        <v>0</v>
      </c>
      <c r="W115" s="195">
        <f t="shared" si="119"/>
        <v>0</v>
      </c>
      <c r="X115" s="195">
        <f t="shared" si="132"/>
        <v>0</v>
      </c>
      <c r="Y115" s="195">
        <f t="shared" si="120"/>
        <v>0</v>
      </c>
      <c r="Z115" s="195">
        <f t="shared" si="133"/>
        <v>0</v>
      </c>
      <c r="AA115" s="195">
        <f t="shared" si="134"/>
        <v>21</v>
      </c>
      <c r="AB115" s="195">
        <f t="shared" si="135"/>
        <v>4.9065420560747661</v>
      </c>
      <c r="AH115" s="195">
        <v>10</v>
      </c>
      <c r="AI115" s="195">
        <v>0</v>
      </c>
      <c r="AJ115" s="195">
        <v>0</v>
      </c>
      <c r="AK115" s="195">
        <v>0</v>
      </c>
      <c r="AL115" s="195">
        <v>0</v>
      </c>
      <c r="AM115" s="195">
        <v>8.3333333333333321</v>
      </c>
      <c r="AN115" s="195">
        <v>2</v>
      </c>
      <c r="AO115" s="195">
        <v>0</v>
      </c>
      <c r="AP115" s="195">
        <v>0</v>
      </c>
      <c r="AQ115" s="195">
        <v>0</v>
      </c>
      <c r="AR115" s="195">
        <v>0</v>
      </c>
      <c r="AS115" s="195">
        <v>20.97902097902098</v>
      </c>
      <c r="AT115" s="195">
        <v>30</v>
      </c>
      <c r="AU115" s="195">
        <v>1.5384615384615385</v>
      </c>
      <c r="AV115" s="195">
        <v>1</v>
      </c>
      <c r="AW115" s="195">
        <v>0</v>
      </c>
      <c r="AX115" s="195">
        <v>0</v>
      </c>
      <c r="AY115" s="195">
        <v>0</v>
      </c>
      <c r="AZ115" s="195">
        <v>0</v>
      </c>
      <c r="BA115" s="195">
        <v>0</v>
      </c>
      <c r="BB115" s="195">
        <v>0</v>
      </c>
      <c r="BC115" s="195">
        <v>0</v>
      </c>
      <c r="BD115" s="195">
        <v>0</v>
      </c>
      <c r="BE115" s="195">
        <v>0</v>
      </c>
      <c r="BF115" s="195">
        <v>0</v>
      </c>
      <c r="BG115" s="195">
        <v>33</v>
      </c>
      <c r="BH115" s="195">
        <v>7.7102803738317753</v>
      </c>
    </row>
    <row r="116" spans="2:60" x14ac:dyDescent="0.3">
      <c r="B116" s="195">
        <v>12</v>
      </c>
      <c r="C116" s="195">
        <f t="shared" si="121"/>
        <v>0</v>
      </c>
      <c r="D116" s="195">
        <f t="shared" si="122"/>
        <v>0</v>
      </c>
      <c r="E116" s="195">
        <f t="shared" si="110"/>
        <v>0</v>
      </c>
      <c r="F116" s="195">
        <f t="shared" si="123"/>
        <v>0</v>
      </c>
      <c r="G116" s="195">
        <f t="shared" si="111"/>
        <v>0</v>
      </c>
      <c r="H116" s="195">
        <f t="shared" si="124"/>
        <v>0</v>
      </c>
      <c r="I116" s="195">
        <f t="shared" si="112"/>
        <v>0</v>
      </c>
      <c r="J116" s="195">
        <f t="shared" si="125"/>
        <v>0</v>
      </c>
      <c r="K116" s="195">
        <f t="shared" si="113"/>
        <v>0</v>
      </c>
      <c r="L116" s="195">
        <f t="shared" si="126"/>
        <v>0</v>
      </c>
      <c r="M116" s="195">
        <f t="shared" si="114"/>
        <v>24</v>
      </c>
      <c r="N116" s="195">
        <f t="shared" si="127"/>
        <v>16.783216783216783</v>
      </c>
      <c r="O116" s="195">
        <f t="shared" si="115"/>
        <v>0</v>
      </c>
      <c r="P116" s="195">
        <f t="shared" si="128"/>
        <v>0</v>
      </c>
      <c r="Q116" s="195">
        <f t="shared" si="116"/>
        <v>0</v>
      </c>
      <c r="R116" s="195">
        <f t="shared" si="129"/>
        <v>0</v>
      </c>
      <c r="S116" s="195">
        <f t="shared" si="117"/>
        <v>0</v>
      </c>
      <c r="T116" s="195">
        <f t="shared" si="130"/>
        <v>0</v>
      </c>
      <c r="U116" s="195">
        <f t="shared" si="118"/>
        <v>0</v>
      </c>
      <c r="V116" s="195">
        <f t="shared" si="131"/>
        <v>0</v>
      </c>
      <c r="W116" s="195">
        <f t="shared" si="119"/>
        <v>0</v>
      </c>
      <c r="X116" s="195">
        <f t="shared" si="132"/>
        <v>0</v>
      </c>
      <c r="Y116" s="195">
        <f t="shared" si="120"/>
        <v>0</v>
      </c>
      <c r="Z116" s="195">
        <f t="shared" si="133"/>
        <v>0</v>
      </c>
      <c r="AA116" s="195">
        <f t="shared" si="134"/>
        <v>24</v>
      </c>
      <c r="AB116" s="195">
        <f t="shared" si="135"/>
        <v>5.6074766355140184</v>
      </c>
      <c r="AH116" s="195">
        <v>9</v>
      </c>
      <c r="AI116" s="195">
        <v>0</v>
      </c>
      <c r="AJ116" s="195">
        <v>0</v>
      </c>
      <c r="AK116" s="195">
        <v>0</v>
      </c>
      <c r="AL116" s="195">
        <v>0</v>
      </c>
      <c r="AM116" s="195">
        <v>12.5</v>
      </c>
      <c r="AN116" s="195">
        <v>3</v>
      </c>
      <c r="AO116" s="195">
        <v>0</v>
      </c>
      <c r="AP116" s="195">
        <v>0</v>
      </c>
      <c r="AQ116" s="195">
        <v>0</v>
      </c>
      <c r="AR116" s="195">
        <v>0</v>
      </c>
      <c r="AS116" s="195">
        <v>23.076923076923077</v>
      </c>
      <c r="AT116" s="195">
        <v>33</v>
      </c>
      <c r="AU116" s="195">
        <v>3.0769230769230771</v>
      </c>
      <c r="AV116" s="195">
        <v>2</v>
      </c>
      <c r="AW116" s="195">
        <v>0</v>
      </c>
      <c r="AX116" s="195">
        <v>0</v>
      </c>
      <c r="AY116" s="195">
        <v>0</v>
      </c>
      <c r="AZ116" s="195">
        <v>0</v>
      </c>
      <c r="BA116" s="195">
        <v>0</v>
      </c>
      <c r="BB116" s="195">
        <v>0</v>
      </c>
      <c r="BC116" s="195">
        <v>0</v>
      </c>
      <c r="BD116" s="195">
        <v>0</v>
      </c>
      <c r="BE116" s="195">
        <v>0</v>
      </c>
      <c r="BF116" s="195">
        <v>0</v>
      </c>
      <c r="BG116" s="195">
        <v>38</v>
      </c>
      <c r="BH116" s="195">
        <v>8.8785046728971952</v>
      </c>
    </row>
    <row r="117" spans="2:60" x14ac:dyDescent="0.3">
      <c r="B117" s="195">
        <v>11</v>
      </c>
      <c r="C117" s="195">
        <f t="shared" si="121"/>
        <v>0</v>
      </c>
      <c r="D117" s="195">
        <f t="shared" si="122"/>
        <v>0</v>
      </c>
      <c r="E117" s="195">
        <f t="shared" si="110"/>
        <v>0</v>
      </c>
      <c r="F117" s="195">
        <f t="shared" si="123"/>
        <v>0</v>
      </c>
      <c r="G117" s="195">
        <f t="shared" si="111"/>
        <v>1</v>
      </c>
      <c r="H117" s="195">
        <f t="shared" si="124"/>
        <v>4.1666666666666661</v>
      </c>
      <c r="I117" s="195">
        <f t="shared" si="112"/>
        <v>0</v>
      </c>
      <c r="J117" s="195">
        <f t="shared" si="125"/>
        <v>0</v>
      </c>
      <c r="K117" s="195">
        <f t="shared" si="113"/>
        <v>0</v>
      </c>
      <c r="L117" s="195">
        <f t="shared" si="126"/>
        <v>0</v>
      </c>
      <c r="M117" s="195">
        <f t="shared" si="114"/>
        <v>27</v>
      </c>
      <c r="N117" s="195">
        <f t="shared" si="127"/>
        <v>18.88111888111888</v>
      </c>
      <c r="O117" s="195">
        <f t="shared" si="115"/>
        <v>0</v>
      </c>
      <c r="P117" s="195">
        <f t="shared" si="128"/>
        <v>0</v>
      </c>
      <c r="Q117" s="195">
        <f t="shared" si="116"/>
        <v>0</v>
      </c>
      <c r="R117" s="195">
        <f t="shared" si="129"/>
        <v>0</v>
      </c>
      <c r="S117" s="195">
        <f t="shared" si="117"/>
        <v>0</v>
      </c>
      <c r="T117" s="195">
        <f t="shared" si="130"/>
        <v>0</v>
      </c>
      <c r="U117" s="195">
        <f t="shared" si="118"/>
        <v>0</v>
      </c>
      <c r="V117" s="195">
        <f t="shared" si="131"/>
        <v>0</v>
      </c>
      <c r="W117" s="195">
        <f t="shared" si="119"/>
        <v>0</v>
      </c>
      <c r="X117" s="195">
        <f t="shared" si="132"/>
        <v>0</v>
      </c>
      <c r="Y117" s="195">
        <f t="shared" si="120"/>
        <v>0</v>
      </c>
      <c r="Z117" s="195">
        <f t="shared" si="133"/>
        <v>0</v>
      </c>
      <c r="AA117" s="195">
        <f t="shared" si="134"/>
        <v>28</v>
      </c>
      <c r="AB117" s="195">
        <f t="shared" si="135"/>
        <v>6.5420560747663545</v>
      </c>
      <c r="AH117" s="195">
        <v>8</v>
      </c>
      <c r="AI117" s="195">
        <v>0</v>
      </c>
      <c r="AJ117" s="195">
        <v>0</v>
      </c>
      <c r="AK117" s="195">
        <v>0</v>
      </c>
      <c r="AL117" s="195">
        <v>0</v>
      </c>
      <c r="AM117" s="195">
        <v>16.666666666666664</v>
      </c>
      <c r="AN117" s="195">
        <v>4</v>
      </c>
      <c r="AO117" s="195">
        <v>0</v>
      </c>
      <c r="AP117" s="195">
        <v>0</v>
      </c>
      <c r="AQ117" s="195">
        <v>0</v>
      </c>
      <c r="AR117" s="195">
        <v>0</v>
      </c>
      <c r="AS117" s="195">
        <v>25.174825174825177</v>
      </c>
      <c r="AT117" s="195">
        <v>36</v>
      </c>
      <c r="AU117" s="195">
        <v>4.6153846153846159</v>
      </c>
      <c r="AV117" s="195">
        <v>3</v>
      </c>
      <c r="AW117" s="195">
        <v>0</v>
      </c>
      <c r="AX117" s="195">
        <v>0</v>
      </c>
      <c r="AY117" s="195">
        <v>0</v>
      </c>
      <c r="AZ117" s="195">
        <v>0</v>
      </c>
      <c r="BA117" s="195">
        <v>0</v>
      </c>
      <c r="BB117" s="195">
        <v>0</v>
      </c>
      <c r="BC117" s="195">
        <v>0</v>
      </c>
      <c r="BD117" s="195">
        <v>0</v>
      </c>
      <c r="BE117" s="195">
        <v>0</v>
      </c>
      <c r="BF117" s="195">
        <v>0</v>
      </c>
      <c r="BG117" s="195">
        <v>43</v>
      </c>
      <c r="BH117" s="195">
        <v>10.046728971962617</v>
      </c>
    </row>
    <row r="118" spans="2:60" x14ac:dyDescent="0.3">
      <c r="B118" s="195">
        <v>10</v>
      </c>
      <c r="C118" s="195">
        <f t="shared" si="121"/>
        <v>0</v>
      </c>
      <c r="D118" s="195">
        <f t="shared" si="122"/>
        <v>0</v>
      </c>
      <c r="E118" s="195">
        <f t="shared" si="110"/>
        <v>0</v>
      </c>
      <c r="F118" s="195">
        <f t="shared" si="123"/>
        <v>0</v>
      </c>
      <c r="G118" s="195">
        <f t="shared" si="111"/>
        <v>2</v>
      </c>
      <c r="H118" s="195">
        <f t="shared" si="124"/>
        <v>8.3333333333333321</v>
      </c>
      <c r="I118" s="195">
        <f t="shared" si="112"/>
        <v>0</v>
      </c>
      <c r="J118" s="195">
        <f t="shared" si="125"/>
        <v>0</v>
      </c>
      <c r="K118" s="195">
        <f t="shared" si="113"/>
        <v>0</v>
      </c>
      <c r="L118" s="195">
        <f t="shared" si="126"/>
        <v>0</v>
      </c>
      <c r="M118" s="195">
        <f t="shared" si="114"/>
        <v>30</v>
      </c>
      <c r="N118" s="195">
        <f t="shared" si="127"/>
        <v>20.97902097902098</v>
      </c>
      <c r="O118" s="195">
        <f t="shared" si="115"/>
        <v>1</v>
      </c>
      <c r="P118" s="195">
        <f t="shared" si="128"/>
        <v>1.5384615384615385</v>
      </c>
      <c r="Q118" s="195">
        <f t="shared" si="116"/>
        <v>0</v>
      </c>
      <c r="R118" s="195">
        <f t="shared" si="129"/>
        <v>0</v>
      </c>
      <c r="S118" s="195">
        <f t="shared" si="117"/>
        <v>0</v>
      </c>
      <c r="T118" s="195">
        <f t="shared" si="130"/>
        <v>0</v>
      </c>
      <c r="U118" s="195">
        <f t="shared" si="118"/>
        <v>0</v>
      </c>
      <c r="V118" s="195">
        <f t="shared" si="131"/>
        <v>0</v>
      </c>
      <c r="W118" s="195">
        <f t="shared" si="119"/>
        <v>0</v>
      </c>
      <c r="X118" s="195">
        <f t="shared" si="132"/>
        <v>0</v>
      </c>
      <c r="Y118" s="195">
        <f t="shared" si="120"/>
        <v>0</v>
      </c>
      <c r="Z118" s="195">
        <f t="shared" si="133"/>
        <v>0</v>
      </c>
      <c r="AA118" s="195">
        <f t="shared" si="134"/>
        <v>33</v>
      </c>
      <c r="AB118" s="195">
        <f t="shared" si="135"/>
        <v>7.7102803738317753</v>
      </c>
      <c r="AH118" s="195">
        <v>7</v>
      </c>
      <c r="AI118" s="195">
        <v>0</v>
      </c>
      <c r="AJ118" s="195">
        <v>0</v>
      </c>
      <c r="AK118" s="195">
        <v>0</v>
      </c>
      <c r="AL118" s="195">
        <v>0</v>
      </c>
      <c r="AM118" s="195">
        <v>20.833333333333336</v>
      </c>
      <c r="AN118" s="195">
        <v>5</v>
      </c>
      <c r="AO118" s="195">
        <v>0</v>
      </c>
      <c r="AP118" s="195">
        <v>0</v>
      </c>
      <c r="AQ118" s="195">
        <v>0</v>
      </c>
      <c r="AR118" s="195">
        <v>0</v>
      </c>
      <c r="AS118" s="195">
        <v>27.27272727272727</v>
      </c>
      <c r="AT118" s="195">
        <v>39</v>
      </c>
      <c r="AU118" s="195">
        <v>6.1538461538461542</v>
      </c>
      <c r="AV118" s="195">
        <v>4</v>
      </c>
      <c r="AW118" s="195">
        <v>0</v>
      </c>
      <c r="AX118" s="195">
        <v>0</v>
      </c>
      <c r="AY118" s="195">
        <v>0</v>
      </c>
      <c r="AZ118" s="195">
        <v>0</v>
      </c>
      <c r="BA118" s="195">
        <v>0</v>
      </c>
      <c r="BB118" s="195">
        <v>0</v>
      </c>
      <c r="BC118" s="195">
        <v>0</v>
      </c>
      <c r="BD118" s="195">
        <v>0</v>
      </c>
      <c r="BE118" s="195">
        <v>0</v>
      </c>
      <c r="BF118" s="195">
        <v>0</v>
      </c>
      <c r="BG118" s="195">
        <v>48</v>
      </c>
      <c r="BH118" s="195">
        <v>11.214953271028037</v>
      </c>
    </row>
    <row r="119" spans="2:60" x14ac:dyDescent="0.3">
      <c r="B119" s="195">
        <v>9</v>
      </c>
      <c r="C119" s="195">
        <f t="shared" si="121"/>
        <v>0</v>
      </c>
      <c r="D119" s="195">
        <f t="shared" si="122"/>
        <v>0</v>
      </c>
      <c r="E119" s="195">
        <f t="shared" si="110"/>
        <v>0</v>
      </c>
      <c r="F119" s="195">
        <f t="shared" si="123"/>
        <v>0</v>
      </c>
      <c r="G119" s="195">
        <f t="shared" si="111"/>
        <v>3</v>
      </c>
      <c r="H119" s="195">
        <f t="shared" si="124"/>
        <v>12.5</v>
      </c>
      <c r="I119" s="195">
        <f t="shared" si="112"/>
        <v>0</v>
      </c>
      <c r="J119" s="195">
        <f t="shared" si="125"/>
        <v>0</v>
      </c>
      <c r="K119" s="195">
        <f t="shared" si="113"/>
        <v>0</v>
      </c>
      <c r="L119" s="195">
        <f t="shared" si="126"/>
        <v>0</v>
      </c>
      <c r="M119" s="195">
        <f t="shared" si="114"/>
        <v>33</v>
      </c>
      <c r="N119" s="195">
        <f t="shared" si="127"/>
        <v>23.076923076923077</v>
      </c>
      <c r="O119" s="195">
        <f t="shared" si="115"/>
        <v>2</v>
      </c>
      <c r="P119" s="195">
        <f t="shared" si="128"/>
        <v>3.0769230769230771</v>
      </c>
      <c r="Q119" s="195">
        <f t="shared" si="116"/>
        <v>0</v>
      </c>
      <c r="R119" s="195">
        <f t="shared" si="129"/>
        <v>0</v>
      </c>
      <c r="S119" s="195">
        <f t="shared" si="117"/>
        <v>0</v>
      </c>
      <c r="T119" s="195">
        <f t="shared" si="130"/>
        <v>0</v>
      </c>
      <c r="U119" s="195">
        <f t="shared" si="118"/>
        <v>0</v>
      </c>
      <c r="V119" s="195">
        <f t="shared" si="131"/>
        <v>0</v>
      </c>
      <c r="W119" s="195">
        <f t="shared" si="119"/>
        <v>0</v>
      </c>
      <c r="X119" s="195">
        <f t="shared" si="132"/>
        <v>0</v>
      </c>
      <c r="Y119" s="195">
        <f t="shared" si="120"/>
        <v>0</v>
      </c>
      <c r="Z119" s="195">
        <f t="shared" si="133"/>
        <v>0</v>
      </c>
      <c r="AA119" s="195">
        <f t="shared" si="134"/>
        <v>38</v>
      </c>
      <c r="AB119" s="195">
        <f t="shared" si="135"/>
        <v>8.8785046728971952</v>
      </c>
      <c r="AH119" s="195">
        <v>6</v>
      </c>
      <c r="AI119" s="195">
        <v>0</v>
      </c>
      <c r="AJ119" s="195">
        <v>0</v>
      </c>
      <c r="AK119" s="195">
        <v>0</v>
      </c>
      <c r="AL119" s="195">
        <v>0</v>
      </c>
      <c r="AM119" s="195">
        <v>25</v>
      </c>
      <c r="AN119" s="195">
        <v>6</v>
      </c>
      <c r="AO119" s="195">
        <v>0</v>
      </c>
      <c r="AP119" s="195">
        <v>0</v>
      </c>
      <c r="AQ119" s="195">
        <v>0</v>
      </c>
      <c r="AR119" s="195">
        <v>0</v>
      </c>
      <c r="AS119" s="195">
        <v>29.37062937062937</v>
      </c>
      <c r="AT119" s="195">
        <v>42</v>
      </c>
      <c r="AU119" s="195">
        <v>7.6923076923076925</v>
      </c>
      <c r="AV119" s="195">
        <v>5</v>
      </c>
      <c r="AW119" s="195">
        <v>2.1739130434782608</v>
      </c>
      <c r="AX119" s="195">
        <v>1</v>
      </c>
      <c r="AY119" s="195">
        <v>0</v>
      </c>
      <c r="AZ119" s="195">
        <v>0</v>
      </c>
      <c r="BA119" s="195">
        <v>0</v>
      </c>
      <c r="BB119" s="195">
        <v>0</v>
      </c>
      <c r="BC119" s="195">
        <v>0</v>
      </c>
      <c r="BD119" s="195">
        <v>0</v>
      </c>
      <c r="BE119" s="195">
        <v>0</v>
      </c>
      <c r="BF119" s="195">
        <v>0</v>
      </c>
      <c r="BG119" s="195">
        <v>54</v>
      </c>
      <c r="BH119" s="195">
        <v>12.616822429906541</v>
      </c>
    </row>
    <row r="120" spans="2:60" x14ac:dyDescent="0.3">
      <c r="B120" s="195">
        <v>8</v>
      </c>
      <c r="C120" s="195">
        <f t="shared" si="121"/>
        <v>0</v>
      </c>
      <c r="D120" s="195">
        <f t="shared" si="122"/>
        <v>0</v>
      </c>
      <c r="E120" s="195">
        <f t="shared" si="110"/>
        <v>0</v>
      </c>
      <c r="F120" s="195">
        <f t="shared" si="123"/>
        <v>0</v>
      </c>
      <c r="G120" s="195">
        <f t="shared" si="111"/>
        <v>4</v>
      </c>
      <c r="H120" s="195">
        <f t="shared" si="124"/>
        <v>16.666666666666664</v>
      </c>
      <c r="I120" s="195">
        <f t="shared" si="112"/>
        <v>0</v>
      </c>
      <c r="J120" s="195">
        <f t="shared" si="125"/>
        <v>0</v>
      </c>
      <c r="K120" s="195">
        <f t="shared" si="113"/>
        <v>0</v>
      </c>
      <c r="L120" s="195">
        <f t="shared" si="126"/>
        <v>0</v>
      </c>
      <c r="M120" s="195">
        <f t="shared" si="114"/>
        <v>36</v>
      </c>
      <c r="N120" s="195">
        <f t="shared" si="127"/>
        <v>25.174825174825177</v>
      </c>
      <c r="O120" s="195">
        <f t="shared" si="115"/>
        <v>3</v>
      </c>
      <c r="P120" s="195">
        <f t="shared" si="128"/>
        <v>4.6153846153846159</v>
      </c>
      <c r="Q120" s="195">
        <f t="shared" si="116"/>
        <v>0</v>
      </c>
      <c r="R120" s="195">
        <f t="shared" si="129"/>
        <v>0</v>
      </c>
      <c r="S120" s="195">
        <f t="shared" si="117"/>
        <v>0</v>
      </c>
      <c r="T120" s="195">
        <f t="shared" si="130"/>
        <v>0</v>
      </c>
      <c r="U120" s="195">
        <f t="shared" si="118"/>
        <v>0</v>
      </c>
      <c r="V120" s="195">
        <f t="shared" si="131"/>
        <v>0</v>
      </c>
      <c r="W120" s="195">
        <f t="shared" si="119"/>
        <v>0</v>
      </c>
      <c r="X120" s="195">
        <f t="shared" si="132"/>
        <v>0</v>
      </c>
      <c r="Y120" s="195">
        <f t="shared" si="120"/>
        <v>0</v>
      </c>
      <c r="Z120" s="195">
        <f t="shared" si="133"/>
        <v>0</v>
      </c>
      <c r="AA120" s="195">
        <f t="shared" si="134"/>
        <v>43</v>
      </c>
      <c r="AB120" s="195">
        <f t="shared" si="135"/>
        <v>10.046728971962617</v>
      </c>
      <c r="AH120" s="195">
        <v>5</v>
      </c>
      <c r="AI120" s="195">
        <v>0</v>
      </c>
      <c r="AJ120" s="195">
        <v>0</v>
      </c>
      <c r="AK120" s="195">
        <v>0</v>
      </c>
      <c r="AL120" s="195">
        <v>0</v>
      </c>
      <c r="AM120" s="195">
        <v>29.166666666666668</v>
      </c>
      <c r="AN120" s="195">
        <v>7</v>
      </c>
      <c r="AO120" s="195">
        <v>0</v>
      </c>
      <c r="AP120" s="195">
        <v>0</v>
      </c>
      <c r="AQ120" s="195">
        <v>8.4745762711864394</v>
      </c>
      <c r="AR120" s="195">
        <v>5</v>
      </c>
      <c r="AS120" s="195">
        <v>31.46853146853147</v>
      </c>
      <c r="AT120" s="195">
        <v>45</v>
      </c>
      <c r="AU120" s="195">
        <v>9.2307692307692317</v>
      </c>
      <c r="AV120" s="195">
        <v>6</v>
      </c>
      <c r="AW120" s="195">
        <v>6.5217391304347823</v>
      </c>
      <c r="AX120" s="195">
        <v>3</v>
      </c>
      <c r="AY120" s="195">
        <v>0</v>
      </c>
      <c r="AZ120" s="195">
        <v>0</v>
      </c>
      <c r="BA120" s="195">
        <v>0</v>
      </c>
      <c r="BB120" s="195">
        <v>0</v>
      </c>
      <c r="BC120" s="195">
        <v>0</v>
      </c>
      <c r="BD120" s="195">
        <v>0</v>
      </c>
      <c r="BE120" s="195">
        <v>0</v>
      </c>
      <c r="BF120" s="195">
        <v>0</v>
      </c>
      <c r="BG120" s="195">
        <v>66</v>
      </c>
      <c r="BH120" s="195">
        <v>15.420560747663551</v>
      </c>
    </row>
    <row r="121" spans="2:60" x14ac:dyDescent="0.3">
      <c r="B121" s="195">
        <v>7</v>
      </c>
      <c r="C121" s="195">
        <f t="shared" si="121"/>
        <v>0</v>
      </c>
      <c r="D121" s="195">
        <f t="shared" si="122"/>
        <v>0</v>
      </c>
      <c r="E121" s="195">
        <f t="shared" si="110"/>
        <v>0</v>
      </c>
      <c r="F121" s="195">
        <f t="shared" si="123"/>
        <v>0</v>
      </c>
      <c r="G121" s="195">
        <f t="shared" si="111"/>
        <v>5</v>
      </c>
      <c r="H121" s="195">
        <f t="shared" si="124"/>
        <v>20.833333333333336</v>
      </c>
      <c r="I121" s="195">
        <f t="shared" si="112"/>
        <v>0</v>
      </c>
      <c r="J121" s="195">
        <f t="shared" si="125"/>
        <v>0</v>
      </c>
      <c r="K121" s="195">
        <f t="shared" si="113"/>
        <v>0</v>
      </c>
      <c r="L121" s="195">
        <f t="shared" si="126"/>
        <v>0</v>
      </c>
      <c r="M121" s="195">
        <f t="shared" si="114"/>
        <v>39</v>
      </c>
      <c r="N121" s="195">
        <f t="shared" si="127"/>
        <v>27.27272727272727</v>
      </c>
      <c r="O121" s="195">
        <f t="shared" si="115"/>
        <v>4</v>
      </c>
      <c r="P121" s="195">
        <f t="shared" si="128"/>
        <v>6.1538461538461542</v>
      </c>
      <c r="Q121" s="195">
        <f t="shared" si="116"/>
        <v>0</v>
      </c>
      <c r="R121" s="195">
        <f t="shared" si="129"/>
        <v>0</v>
      </c>
      <c r="S121" s="195">
        <f t="shared" si="117"/>
        <v>0</v>
      </c>
      <c r="T121" s="195">
        <f t="shared" si="130"/>
        <v>0</v>
      </c>
      <c r="U121" s="195">
        <f t="shared" si="118"/>
        <v>0</v>
      </c>
      <c r="V121" s="195">
        <f t="shared" si="131"/>
        <v>0</v>
      </c>
      <c r="W121" s="195">
        <f t="shared" si="119"/>
        <v>0</v>
      </c>
      <c r="X121" s="195">
        <f t="shared" si="132"/>
        <v>0</v>
      </c>
      <c r="Y121" s="195">
        <f t="shared" si="120"/>
        <v>0</v>
      </c>
      <c r="Z121" s="195">
        <f t="shared" si="133"/>
        <v>0</v>
      </c>
      <c r="AA121" s="195">
        <f t="shared" si="134"/>
        <v>48</v>
      </c>
      <c r="AB121" s="195">
        <f t="shared" si="135"/>
        <v>11.214953271028037</v>
      </c>
      <c r="AH121" s="195">
        <v>4</v>
      </c>
      <c r="AI121" s="195">
        <v>0</v>
      </c>
      <c r="AJ121" s="195">
        <v>0</v>
      </c>
      <c r="AK121" s="195">
        <v>0</v>
      </c>
      <c r="AL121" s="195">
        <v>0</v>
      </c>
      <c r="AM121" s="195">
        <v>33.333333333333329</v>
      </c>
      <c r="AN121" s="195">
        <v>8</v>
      </c>
      <c r="AO121" s="195">
        <v>0</v>
      </c>
      <c r="AP121" s="195">
        <v>0</v>
      </c>
      <c r="AQ121" s="195">
        <v>18.64406779661017</v>
      </c>
      <c r="AR121" s="195">
        <v>11</v>
      </c>
      <c r="AS121" s="195">
        <v>33.566433566433567</v>
      </c>
      <c r="AT121" s="195">
        <v>48</v>
      </c>
      <c r="AU121" s="195">
        <v>10.76923076923077</v>
      </c>
      <c r="AV121" s="195">
        <v>7</v>
      </c>
      <c r="AW121" s="195">
        <v>10.869565217391305</v>
      </c>
      <c r="AX121" s="195">
        <v>5</v>
      </c>
      <c r="AY121" s="195">
        <v>2.083333333333333</v>
      </c>
      <c r="AZ121" s="195">
        <v>1</v>
      </c>
      <c r="BA121" s="195">
        <v>0</v>
      </c>
      <c r="BB121" s="195">
        <v>0</v>
      </c>
      <c r="BC121" s="195">
        <v>0</v>
      </c>
      <c r="BD121" s="195">
        <v>0</v>
      </c>
      <c r="BE121" s="195">
        <v>0</v>
      </c>
      <c r="BF121" s="195">
        <v>0</v>
      </c>
      <c r="BG121" s="195">
        <v>80</v>
      </c>
      <c r="BH121" s="195">
        <v>18.691588785046729</v>
      </c>
    </row>
    <row r="122" spans="2:60" x14ac:dyDescent="0.3">
      <c r="B122" s="195">
        <v>6</v>
      </c>
      <c r="C122" s="195">
        <f t="shared" si="121"/>
        <v>0</v>
      </c>
      <c r="D122" s="195">
        <f t="shared" si="122"/>
        <v>0</v>
      </c>
      <c r="E122" s="195">
        <f t="shared" si="110"/>
        <v>0</v>
      </c>
      <c r="F122" s="195">
        <f t="shared" si="123"/>
        <v>0</v>
      </c>
      <c r="G122" s="195">
        <f t="shared" si="111"/>
        <v>6</v>
      </c>
      <c r="H122" s="195">
        <f t="shared" si="124"/>
        <v>25</v>
      </c>
      <c r="I122" s="195">
        <f t="shared" si="112"/>
        <v>0</v>
      </c>
      <c r="J122" s="195">
        <f t="shared" si="125"/>
        <v>0</v>
      </c>
      <c r="K122" s="195">
        <f t="shared" si="113"/>
        <v>0</v>
      </c>
      <c r="L122" s="195">
        <f t="shared" si="126"/>
        <v>0</v>
      </c>
      <c r="M122" s="195">
        <f t="shared" si="114"/>
        <v>42</v>
      </c>
      <c r="N122" s="195">
        <f t="shared" si="127"/>
        <v>29.37062937062937</v>
      </c>
      <c r="O122" s="195">
        <f t="shared" si="115"/>
        <v>5</v>
      </c>
      <c r="P122" s="195">
        <f t="shared" si="128"/>
        <v>7.6923076923076925</v>
      </c>
      <c r="Q122" s="195">
        <f t="shared" si="116"/>
        <v>1</v>
      </c>
      <c r="R122" s="195">
        <f t="shared" si="129"/>
        <v>2.1739130434782608</v>
      </c>
      <c r="S122" s="195">
        <f t="shared" si="117"/>
        <v>0</v>
      </c>
      <c r="T122" s="195">
        <f t="shared" si="130"/>
        <v>0</v>
      </c>
      <c r="U122" s="195">
        <f t="shared" si="118"/>
        <v>0</v>
      </c>
      <c r="V122" s="195">
        <f t="shared" si="131"/>
        <v>0</v>
      </c>
      <c r="W122" s="195">
        <f t="shared" si="119"/>
        <v>0</v>
      </c>
      <c r="X122" s="195">
        <f t="shared" si="132"/>
        <v>0</v>
      </c>
      <c r="Y122" s="195">
        <f t="shared" si="120"/>
        <v>0</v>
      </c>
      <c r="Z122" s="195">
        <f t="shared" si="133"/>
        <v>0</v>
      </c>
      <c r="AA122" s="195">
        <f t="shared" si="134"/>
        <v>54</v>
      </c>
      <c r="AB122" s="195">
        <f t="shared" si="135"/>
        <v>12.616822429906541</v>
      </c>
      <c r="AH122" s="195">
        <v>3</v>
      </c>
      <c r="AI122" s="195">
        <v>0</v>
      </c>
      <c r="AJ122" s="195">
        <v>0</v>
      </c>
      <c r="AK122" s="195">
        <v>0</v>
      </c>
      <c r="AL122" s="195">
        <v>0</v>
      </c>
      <c r="AM122" s="195">
        <v>37.5</v>
      </c>
      <c r="AN122" s="195">
        <v>9</v>
      </c>
      <c r="AO122" s="195">
        <v>0</v>
      </c>
      <c r="AP122" s="195">
        <v>0</v>
      </c>
      <c r="AQ122" s="195">
        <v>28.8135593220339</v>
      </c>
      <c r="AR122" s="195">
        <v>17</v>
      </c>
      <c r="AS122" s="195">
        <v>35.664335664335667</v>
      </c>
      <c r="AT122" s="195">
        <v>51</v>
      </c>
      <c r="AU122" s="195">
        <v>12.307692307692308</v>
      </c>
      <c r="AV122" s="195">
        <v>8</v>
      </c>
      <c r="AW122" s="195">
        <v>15.217391304347828</v>
      </c>
      <c r="AX122" s="195">
        <v>7</v>
      </c>
      <c r="AY122" s="195">
        <v>4.1666666666666661</v>
      </c>
      <c r="AZ122" s="195">
        <v>2</v>
      </c>
      <c r="BA122" s="195">
        <v>0</v>
      </c>
      <c r="BB122" s="195">
        <v>0</v>
      </c>
      <c r="BC122" s="195">
        <v>0</v>
      </c>
      <c r="BD122" s="195">
        <v>0</v>
      </c>
      <c r="BE122" s="195">
        <v>0</v>
      </c>
      <c r="BF122" s="195">
        <v>0</v>
      </c>
      <c r="BG122" s="195">
        <v>94</v>
      </c>
      <c r="BH122" s="195">
        <v>21.962616822429908</v>
      </c>
    </row>
    <row r="123" spans="2:60" x14ac:dyDescent="0.3">
      <c r="B123" s="195">
        <v>5</v>
      </c>
      <c r="C123" s="195">
        <f t="shared" si="121"/>
        <v>0</v>
      </c>
      <c r="D123" s="195">
        <f t="shared" si="122"/>
        <v>0</v>
      </c>
      <c r="E123" s="195">
        <f t="shared" si="110"/>
        <v>0</v>
      </c>
      <c r="F123" s="195">
        <f t="shared" si="123"/>
        <v>0</v>
      </c>
      <c r="G123" s="195">
        <f t="shared" si="111"/>
        <v>7</v>
      </c>
      <c r="H123" s="195">
        <f t="shared" si="124"/>
        <v>29.166666666666668</v>
      </c>
      <c r="I123" s="195">
        <f t="shared" si="112"/>
        <v>0</v>
      </c>
      <c r="J123" s="195">
        <f t="shared" si="125"/>
        <v>0</v>
      </c>
      <c r="K123" s="195">
        <f t="shared" si="113"/>
        <v>5</v>
      </c>
      <c r="L123" s="195">
        <f t="shared" si="126"/>
        <v>8.4745762711864394</v>
      </c>
      <c r="M123" s="195">
        <f t="shared" si="114"/>
        <v>45</v>
      </c>
      <c r="N123" s="195">
        <f t="shared" si="127"/>
        <v>31.46853146853147</v>
      </c>
      <c r="O123" s="195">
        <f t="shared" si="115"/>
        <v>6</v>
      </c>
      <c r="P123" s="195">
        <f t="shared" si="128"/>
        <v>9.2307692307692317</v>
      </c>
      <c r="Q123" s="195">
        <f t="shared" si="116"/>
        <v>3</v>
      </c>
      <c r="R123" s="195">
        <f t="shared" si="129"/>
        <v>6.5217391304347823</v>
      </c>
      <c r="S123" s="195">
        <f t="shared" si="117"/>
        <v>0</v>
      </c>
      <c r="T123" s="195">
        <f t="shared" si="130"/>
        <v>0</v>
      </c>
      <c r="U123" s="195">
        <f t="shared" si="118"/>
        <v>0</v>
      </c>
      <c r="V123" s="195">
        <f t="shared" si="131"/>
        <v>0</v>
      </c>
      <c r="W123" s="195">
        <f t="shared" si="119"/>
        <v>0</v>
      </c>
      <c r="X123" s="195">
        <f t="shared" si="132"/>
        <v>0</v>
      </c>
      <c r="Y123" s="195">
        <f t="shared" si="120"/>
        <v>0</v>
      </c>
      <c r="Z123" s="195">
        <f t="shared" si="133"/>
        <v>0</v>
      </c>
      <c r="AA123" s="195">
        <f t="shared" si="134"/>
        <v>66</v>
      </c>
      <c r="AB123" s="195">
        <f t="shared" si="135"/>
        <v>15.420560747663551</v>
      </c>
      <c r="AH123" s="195">
        <v>2</v>
      </c>
      <c r="AI123" s="195">
        <v>0</v>
      </c>
      <c r="AJ123" s="195">
        <v>0</v>
      </c>
      <c r="AK123" s="195">
        <v>15</v>
      </c>
      <c r="AL123" s="195">
        <v>3</v>
      </c>
      <c r="AM123" s="195">
        <v>45.833333333333329</v>
      </c>
      <c r="AN123" s="195">
        <v>11</v>
      </c>
      <c r="AO123" s="195">
        <v>0</v>
      </c>
      <c r="AP123" s="195">
        <v>0</v>
      </c>
      <c r="AQ123" s="195">
        <v>38.983050847457626</v>
      </c>
      <c r="AR123" s="195">
        <v>23</v>
      </c>
      <c r="AS123" s="195">
        <v>38.461538461538467</v>
      </c>
      <c r="AT123" s="195">
        <v>55</v>
      </c>
      <c r="AU123" s="195">
        <v>15.384615384615385</v>
      </c>
      <c r="AV123" s="195">
        <v>10</v>
      </c>
      <c r="AW123" s="195">
        <v>19.565217391304348</v>
      </c>
      <c r="AX123" s="195">
        <v>9</v>
      </c>
      <c r="AY123" s="195">
        <v>18.75</v>
      </c>
      <c r="AZ123" s="195">
        <v>9</v>
      </c>
      <c r="BA123" s="195">
        <v>0</v>
      </c>
      <c r="BB123" s="195">
        <v>0</v>
      </c>
      <c r="BC123" s="195">
        <v>0</v>
      </c>
      <c r="BD123" s="195">
        <v>0</v>
      </c>
      <c r="BE123" s="195">
        <v>0</v>
      </c>
      <c r="BF123" s="195">
        <v>0</v>
      </c>
      <c r="BG123" s="195">
        <v>120</v>
      </c>
      <c r="BH123" s="195">
        <v>28.037383177570092</v>
      </c>
    </row>
    <row r="124" spans="2:60" x14ac:dyDescent="0.3">
      <c r="B124" s="195">
        <v>4</v>
      </c>
      <c r="C124" s="195">
        <f t="shared" si="121"/>
        <v>0</v>
      </c>
      <c r="D124" s="195">
        <f t="shared" si="122"/>
        <v>0</v>
      </c>
      <c r="E124" s="195">
        <f t="shared" si="110"/>
        <v>0</v>
      </c>
      <c r="F124" s="195">
        <f t="shared" si="123"/>
        <v>0</v>
      </c>
      <c r="G124" s="195">
        <f t="shared" si="111"/>
        <v>8</v>
      </c>
      <c r="H124" s="195">
        <f t="shared" si="124"/>
        <v>33.333333333333329</v>
      </c>
      <c r="I124" s="195">
        <f t="shared" si="112"/>
        <v>0</v>
      </c>
      <c r="J124" s="195">
        <f t="shared" si="125"/>
        <v>0</v>
      </c>
      <c r="K124" s="195">
        <f t="shared" si="113"/>
        <v>11</v>
      </c>
      <c r="L124" s="195">
        <f t="shared" si="126"/>
        <v>18.64406779661017</v>
      </c>
      <c r="M124" s="195">
        <f t="shared" si="114"/>
        <v>48</v>
      </c>
      <c r="N124" s="195">
        <f t="shared" si="127"/>
        <v>33.566433566433567</v>
      </c>
      <c r="O124" s="195">
        <f t="shared" si="115"/>
        <v>7</v>
      </c>
      <c r="P124" s="195">
        <f t="shared" si="128"/>
        <v>10.76923076923077</v>
      </c>
      <c r="Q124" s="195">
        <f t="shared" si="116"/>
        <v>5</v>
      </c>
      <c r="R124" s="195">
        <f t="shared" si="129"/>
        <v>10.869565217391305</v>
      </c>
      <c r="S124" s="195">
        <f t="shared" si="117"/>
        <v>1</v>
      </c>
      <c r="T124" s="195">
        <f t="shared" si="130"/>
        <v>2.083333333333333</v>
      </c>
      <c r="U124" s="195">
        <f t="shared" si="118"/>
        <v>0</v>
      </c>
      <c r="V124" s="195">
        <f t="shared" si="131"/>
        <v>0</v>
      </c>
      <c r="W124" s="195">
        <f t="shared" si="119"/>
        <v>0</v>
      </c>
      <c r="X124" s="195">
        <f t="shared" si="132"/>
        <v>0</v>
      </c>
      <c r="Y124" s="195">
        <f t="shared" si="120"/>
        <v>0</v>
      </c>
      <c r="Z124" s="195">
        <f t="shared" si="133"/>
        <v>0</v>
      </c>
      <c r="AA124" s="195">
        <f t="shared" si="134"/>
        <v>80</v>
      </c>
      <c r="AB124" s="195">
        <f t="shared" si="135"/>
        <v>18.691588785046729</v>
      </c>
      <c r="AH124" s="195">
        <v>1</v>
      </c>
      <c r="AI124" s="195">
        <v>0</v>
      </c>
      <c r="AJ124" s="195">
        <v>0</v>
      </c>
      <c r="AK124" s="195">
        <v>45</v>
      </c>
      <c r="AL124" s="195">
        <v>9</v>
      </c>
      <c r="AM124" s="195">
        <v>62.5</v>
      </c>
      <c r="AN124" s="195">
        <v>15</v>
      </c>
      <c r="AO124" s="195">
        <v>0</v>
      </c>
      <c r="AP124" s="195">
        <v>0</v>
      </c>
      <c r="AQ124" s="195">
        <v>49.152542372881356</v>
      </c>
      <c r="AR124" s="195">
        <v>29</v>
      </c>
      <c r="AS124" s="195">
        <v>48.251748251748253</v>
      </c>
      <c r="AT124" s="195">
        <v>69</v>
      </c>
      <c r="AU124" s="195">
        <v>29.230769230769234</v>
      </c>
      <c r="AV124" s="195">
        <v>19</v>
      </c>
      <c r="AW124" s="195">
        <v>30.434782608695656</v>
      </c>
      <c r="AX124" s="195">
        <v>14</v>
      </c>
      <c r="AY124" s="195">
        <v>35.416666666666671</v>
      </c>
      <c r="AZ124" s="195">
        <v>17</v>
      </c>
      <c r="BA124" s="195">
        <v>0</v>
      </c>
      <c r="BB124" s="195">
        <v>0</v>
      </c>
      <c r="BC124" s="195">
        <v>0</v>
      </c>
      <c r="BD124" s="195">
        <v>0</v>
      </c>
      <c r="BE124" s="195">
        <v>0</v>
      </c>
      <c r="BF124" s="195">
        <v>0</v>
      </c>
      <c r="BG124" s="195">
        <v>172</v>
      </c>
      <c r="BH124" s="195">
        <v>40.186915887850468</v>
      </c>
    </row>
    <row r="125" spans="2:60" x14ac:dyDescent="0.3">
      <c r="B125" s="195">
        <v>3</v>
      </c>
      <c r="C125" s="195">
        <f t="shared" si="121"/>
        <v>0</v>
      </c>
      <c r="D125" s="195">
        <f t="shared" si="122"/>
        <v>0</v>
      </c>
      <c r="E125" s="195">
        <f t="shared" si="110"/>
        <v>0</v>
      </c>
      <c r="F125" s="195">
        <f t="shared" si="123"/>
        <v>0</v>
      </c>
      <c r="G125" s="195">
        <f t="shared" si="111"/>
        <v>9</v>
      </c>
      <c r="H125" s="195">
        <f t="shared" si="124"/>
        <v>37.5</v>
      </c>
      <c r="I125" s="195">
        <f t="shared" si="112"/>
        <v>0</v>
      </c>
      <c r="J125" s="195">
        <f t="shared" si="125"/>
        <v>0</v>
      </c>
      <c r="K125" s="195">
        <f t="shared" si="113"/>
        <v>17</v>
      </c>
      <c r="L125" s="195">
        <f t="shared" si="126"/>
        <v>28.8135593220339</v>
      </c>
      <c r="M125" s="195">
        <f t="shared" si="114"/>
        <v>51</v>
      </c>
      <c r="N125" s="195">
        <f t="shared" si="127"/>
        <v>35.664335664335667</v>
      </c>
      <c r="O125" s="195">
        <f t="shared" si="115"/>
        <v>8</v>
      </c>
      <c r="P125" s="195">
        <f t="shared" si="128"/>
        <v>12.307692307692308</v>
      </c>
      <c r="Q125" s="195">
        <f t="shared" si="116"/>
        <v>7</v>
      </c>
      <c r="R125" s="195">
        <f t="shared" si="129"/>
        <v>15.217391304347828</v>
      </c>
      <c r="S125" s="195">
        <f t="shared" si="117"/>
        <v>2</v>
      </c>
      <c r="T125" s="195">
        <f t="shared" si="130"/>
        <v>4.1666666666666661</v>
      </c>
      <c r="U125" s="195">
        <f t="shared" si="118"/>
        <v>0</v>
      </c>
      <c r="V125" s="195">
        <f t="shared" si="131"/>
        <v>0</v>
      </c>
      <c r="W125" s="195">
        <f t="shared" si="119"/>
        <v>0</v>
      </c>
      <c r="X125" s="195">
        <f t="shared" si="132"/>
        <v>0</v>
      </c>
      <c r="Y125" s="195">
        <f t="shared" si="120"/>
        <v>0</v>
      </c>
      <c r="Z125" s="195">
        <f t="shared" si="133"/>
        <v>0</v>
      </c>
      <c r="AA125" s="195">
        <f t="shared" si="134"/>
        <v>94</v>
      </c>
      <c r="AB125" s="195">
        <f t="shared" si="135"/>
        <v>21.962616822429908</v>
      </c>
    </row>
    <row r="126" spans="2:60" x14ac:dyDescent="0.3">
      <c r="B126" s="195">
        <v>2</v>
      </c>
      <c r="C126" s="195">
        <f t="shared" si="121"/>
        <v>0</v>
      </c>
      <c r="D126" s="195">
        <f t="shared" si="122"/>
        <v>0</v>
      </c>
      <c r="E126" s="195">
        <f t="shared" si="110"/>
        <v>3</v>
      </c>
      <c r="F126" s="195">
        <f t="shared" si="123"/>
        <v>15</v>
      </c>
      <c r="G126" s="195">
        <f t="shared" si="111"/>
        <v>11</v>
      </c>
      <c r="H126" s="195">
        <f t="shared" si="124"/>
        <v>45.833333333333329</v>
      </c>
      <c r="I126" s="195">
        <f t="shared" si="112"/>
        <v>0</v>
      </c>
      <c r="J126" s="195">
        <f t="shared" si="125"/>
        <v>0</v>
      </c>
      <c r="K126" s="195">
        <f t="shared" si="113"/>
        <v>23</v>
      </c>
      <c r="L126" s="195">
        <f t="shared" si="126"/>
        <v>38.983050847457626</v>
      </c>
      <c r="M126" s="195">
        <f t="shared" si="114"/>
        <v>55</v>
      </c>
      <c r="N126" s="195">
        <f t="shared" si="127"/>
        <v>38.461538461538467</v>
      </c>
      <c r="O126" s="195">
        <f t="shared" si="115"/>
        <v>10</v>
      </c>
      <c r="P126" s="195">
        <f t="shared" si="128"/>
        <v>15.384615384615385</v>
      </c>
      <c r="Q126" s="195">
        <f t="shared" si="116"/>
        <v>9</v>
      </c>
      <c r="R126" s="195">
        <f t="shared" si="129"/>
        <v>19.565217391304348</v>
      </c>
      <c r="S126" s="195">
        <f t="shared" si="117"/>
        <v>9</v>
      </c>
      <c r="T126" s="195">
        <f t="shared" si="130"/>
        <v>18.75</v>
      </c>
      <c r="U126" s="195">
        <f t="shared" si="118"/>
        <v>0</v>
      </c>
      <c r="V126" s="195">
        <f t="shared" si="131"/>
        <v>0</v>
      </c>
      <c r="W126" s="195">
        <f t="shared" si="119"/>
        <v>0</v>
      </c>
      <c r="X126" s="195">
        <f t="shared" si="132"/>
        <v>0</v>
      </c>
      <c r="Y126" s="195">
        <f t="shared" si="120"/>
        <v>0</v>
      </c>
      <c r="Z126" s="195">
        <f t="shared" si="133"/>
        <v>0</v>
      </c>
      <c r="AA126" s="195">
        <f t="shared" si="134"/>
        <v>120</v>
      </c>
      <c r="AB126" s="195">
        <f t="shared" si="135"/>
        <v>28.037383177570092</v>
      </c>
      <c r="AI126" s="195">
        <v>1</v>
      </c>
      <c r="AJ126" s="195">
        <v>2</v>
      </c>
      <c r="AK126" s="195">
        <v>1</v>
      </c>
      <c r="AL126" s="195">
        <v>2</v>
      </c>
      <c r="AM126" s="195">
        <v>1</v>
      </c>
      <c r="AN126" s="195">
        <v>2</v>
      </c>
      <c r="AO126" s="195">
        <v>1</v>
      </c>
      <c r="AP126" s="195">
        <v>2</v>
      </c>
      <c r="AQ126" s="195">
        <v>1</v>
      </c>
      <c r="AR126" s="195">
        <v>2</v>
      </c>
      <c r="AS126" s="195">
        <v>1</v>
      </c>
      <c r="AT126" s="195">
        <v>2</v>
      </c>
      <c r="AU126" s="195">
        <v>1</v>
      </c>
      <c r="AV126" s="195">
        <v>2</v>
      </c>
      <c r="AW126" s="195">
        <v>1</v>
      </c>
      <c r="AX126" s="195">
        <v>2</v>
      </c>
      <c r="AY126" s="195">
        <v>1</v>
      </c>
      <c r="AZ126" s="195">
        <v>2</v>
      </c>
      <c r="BA126" s="195">
        <v>1</v>
      </c>
      <c r="BB126" s="195">
        <v>2</v>
      </c>
      <c r="BC126" s="195">
        <v>1</v>
      </c>
      <c r="BD126" s="195">
        <v>2</v>
      </c>
      <c r="BE126" s="195">
        <v>1</v>
      </c>
      <c r="BF126" s="195">
        <v>2</v>
      </c>
      <c r="BG126" s="195">
        <v>1</v>
      </c>
      <c r="BH126" s="195">
        <v>2</v>
      </c>
    </row>
    <row r="127" spans="2:60" x14ac:dyDescent="0.3">
      <c r="B127" s="195">
        <v>1</v>
      </c>
      <c r="C127" s="195">
        <f t="shared" si="121"/>
        <v>0</v>
      </c>
      <c r="D127" s="195">
        <f t="shared" si="122"/>
        <v>0</v>
      </c>
      <c r="E127" s="195">
        <f t="shared" si="110"/>
        <v>9</v>
      </c>
      <c r="F127" s="195">
        <f t="shared" si="123"/>
        <v>45</v>
      </c>
      <c r="G127" s="195">
        <f t="shared" si="111"/>
        <v>15</v>
      </c>
      <c r="H127" s="195">
        <f t="shared" si="124"/>
        <v>62.5</v>
      </c>
      <c r="I127" s="195">
        <f t="shared" si="112"/>
        <v>0</v>
      </c>
      <c r="J127" s="195">
        <f t="shared" si="125"/>
        <v>0</v>
      </c>
      <c r="K127" s="195">
        <f t="shared" si="113"/>
        <v>29</v>
      </c>
      <c r="L127" s="195">
        <f t="shared" si="126"/>
        <v>49.152542372881356</v>
      </c>
      <c r="M127" s="195">
        <f t="shared" si="114"/>
        <v>69</v>
      </c>
      <c r="N127" s="195">
        <f t="shared" si="127"/>
        <v>48.251748251748253</v>
      </c>
      <c r="O127" s="195">
        <f t="shared" si="115"/>
        <v>19</v>
      </c>
      <c r="P127" s="195">
        <f t="shared" si="128"/>
        <v>29.230769230769234</v>
      </c>
      <c r="Q127" s="195">
        <f t="shared" si="116"/>
        <v>14</v>
      </c>
      <c r="R127" s="195">
        <f t="shared" si="129"/>
        <v>30.434782608695656</v>
      </c>
      <c r="S127" s="195">
        <f t="shared" si="117"/>
        <v>17</v>
      </c>
      <c r="T127" s="195">
        <f t="shared" si="130"/>
        <v>35.416666666666671</v>
      </c>
      <c r="U127" s="195">
        <f t="shared" si="118"/>
        <v>0</v>
      </c>
      <c r="V127" s="195">
        <f t="shared" si="131"/>
        <v>0</v>
      </c>
      <c r="W127" s="195">
        <f t="shared" si="119"/>
        <v>0</v>
      </c>
      <c r="X127" s="195">
        <f t="shared" si="132"/>
        <v>0</v>
      </c>
      <c r="Y127" s="195">
        <f t="shared" si="120"/>
        <v>0</v>
      </c>
      <c r="Z127" s="195">
        <f t="shared" si="133"/>
        <v>0</v>
      </c>
      <c r="AA127" s="195">
        <f t="shared" si="134"/>
        <v>172</v>
      </c>
      <c r="AB127" s="195">
        <f t="shared" si="135"/>
        <v>40.186915887850468</v>
      </c>
    </row>
    <row r="130" spans="2:49" x14ac:dyDescent="0.3">
      <c r="C130" s="196" t="s">
        <v>93</v>
      </c>
      <c r="E130" s="195" t="s">
        <v>94</v>
      </c>
      <c r="G130" s="195" t="s">
        <v>4</v>
      </c>
      <c r="I130" s="195" t="s">
        <v>95</v>
      </c>
      <c r="K130" s="195" t="s">
        <v>96</v>
      </c>
      <c r="M130" s="195" t="s">
        <v>7</v>
      </c>
      <c r="Q130" s="195" t="s">
        <v>97</v>
      </c>
      <c r="T130" s="195" t="s">
        <v>93</v>
      </c>
      <c r="U130" s="195" t="s">
        <v>94</v>
      </c>
      <c r="V130" s="195" t="s">
        <v>4</v>
      </c>
      <c r="W130" s="195" t="s">
        <v>95</v>
      </c>
      <c r="X130" s="195" t="s">
        <v>96</v>
      </c>
      <c r="Y130" s="195" t="s">
        <v>7</v>
      </c>
      <c r="Z130" s="195" t="s">
        <v>8</v>
      </c>
      <c r="AA130" s="195" t="s">
        <v>97</v>
      </c>
      <c r="AC130" s="195" t="s">
        <v>93</v>
      </c>
      <c r="AD130" s="195" t="s">
        <v>128</v>
      </c>
      <c r="AE130" s="195" t="s">
        <v>4</v>
      </c>
      <c r="AF130" s="195" t="s">
        <v>95</v>
      </c>
      <c r="AG130" s="195" t="s">
        <v>96</v>
      </c>
      <c r="AH130" s="195" t="s">
        <v>7</v>
      </c>
      <c r="AI130" s="195" t="s">
        <v>130</v>
      </c>
      <c r="AL130" s="195" t="s">
        <v>116</v>
      </c>
      <c r="AM130" s="195" t="s">
        <v>117</v>
      </c>
      <c r="AN130" s="195" t="s">
        <v>118</v>
      </c>
      <c r="AO130" s="195" t="s">
        <v>119</v>
      </c>
      <c r="AP130" s="195" t="s">
        <v>120</v>
      </c>
      <c r="AQ130" s="195" t="s">
        <v>121</v>
      </c>
      <c r="AR130" s="195" t="s">
        <v>122</v>
      </c>
      <c r="AS130" s="195" t="s">
        <v>123</v>
      </c>
      <c r="AT130" s="195" t="s">
        <v>124</v>
      </c>
      <c r="AU130" s="195" t="s">
        <v>125</v>
      </c>
      <c r="AV130" s="195" t="s">
        <v>126</v>
      </c>
      <c r="AW130" s="195" t="s">
        <v>127</v>
      </c>
    </row>
    <row r="131" spans="2:49" x14ac:dyDescent="0.3">
      <c r="B131" s="195" t="s">
        <v>50</v>
      </c>
      <c r="C131" s="36" t="s">
        <v>67</v>
      </c>
      <c r="D131" s="36" t="s">
        <v>28</v>
      </c>
      <c r="E131" s="36" t="s">
        <v>67</v>
      </c>
      <c r="F131" s="36" t="s">
        <v>28</v>
      </c>
      <c r="G131" s="36" t="s">
        <v>67</v>
      </c>
      <c r="H131" s="36" t="s">
        <v>28</v>
      </c>
      <c r="I131" s="36" t="s">
        <v>67</v>
      </c>
      <c r="J131" s="36" t="s">
        <v>28</v>
      </c>
      <c r="K131" s="36" t="s">
        <v>67</v>
      </c>
      <c r="L131" s="36" t="s">
        <v>28</v>
      </c>
      <c r="M131" s="36" t="s">
        <v>67</v>
      </c>
      <c r="N131" s="36" t="s">
        <v>28</v>
      </c>
      <c r="O131" s="36"/>
      <c r="P131" s="36"/>
      <c r="Q131" s="36" t="s">
        <v>67</v>
      </c>
      <c r="R131" s="36" t="s">
        <v>28</v>
      </c>
      <c r="T131" s="195" t="s">
        <v>28</v>
      </c>
      <c r="U131" s="195" t="s">
        <v>28</v>
      </c>
      <c r="V131" s="195" t="s">
        <v>28</v>
      </c>
      <c r="W131" s="195" t="s">
        <v>28</v>
      </c>
      <c r="X131" s="195" t="s">
        <v>28</v>
      </c>
      <c r="Y131" s="195" t="s">
        <v>28</v>
      </c>
      <c r="Z131" s="195" t="s">
        <v>28</v>
      </c>
      <c r="AA131" s="195" t="s">
        <v>28</v>
      </c>
      <c r="AC131" s="195" t="s">
        <v>28</v>
      </c>
      <c r="AD131" s="195" t="s">
        <v>28</v>
      </c>
      <c r="AE131" s="195" t="s">
        <v>28</v>
      </c>
      <c r="AF131" s="195" t="s">
        <v>28</v>
      </c>
      <c r="AG131" s="195" t="s">
        <v>28</v>
      </c>
      <c r="AH131" s="195" t="s">
        <v>28</v>
      </c>
      <c r="AI131" s="195" t="s">
        <v>28</v>
      </c>
    </row>
    <row r="132" spans="2:49" x14ac:dyDescent="0.3">
      <c r="B132" s="195" t="s">
        <v>49</v>
      </c>
      <c r="C132" s="144">
        <f>C107+E107+G107</f>
        <v>46</v>
      </c>
      <c r="D132" s="36">
        <v>100</v>
      </c>
      <c r="E132" s="144">
        <f>G107+I107+K107</f>
        <v>84</v>
      </c>
      <c r="F132" s="195">
        <v>100</v>
      </c>
      <c r="G132" s="144">
        <f>K107</f>
        <v>59</v>
      </c>
      <c r="H132" s="195">
        <v>100</v>
      </c>
      <c r="I132" s="144">
        <f>M107</f>
        <v>143</v>
      </c>
      <c r="J132" s="195">
        <v>100</v>
      </c>
      <c r="K132" s="144">
        <f>O107</f>
        <v>65</v>
      </c>
      <c r="L132" s="195">
        <v>100</v>
      </c>
      <c r="M132" s="144">
        <f>Q107</f>
        <v>46</v>
      </c>
      <c r="N132" s="195">
        <v>100</v>
      </c>
      <c r="O132" s="144"/>
      <c r="Q132" s="144">
        <f>U107+W107+Y107+S107</f>
        <v>68</v>
      </c>
      <c r="R132" s="201">
        <v>100</v>
      </c>
      <c r="T132" s="144">
        <f>D132</f>
        <v>100</v>
      </c>
      <c r="U132" s="144">
        <f>F132</f>
        <v>100</v>
      </c>
      <c r="V132" s="144">
        <f>H132</f>
        <v>100</v>
      </c>
      <c r="W132" s="144">
        <f>J132</f>
        <v>100</v>
      </c>
      <c r="X132" s="144">
        <f>L132</f>
        <v>100</v>
      </c>
      <c r="Y132" s="144">
        <f>N132</f>
        <v>100</v>
      </c>
      <c r="Z132" s="144">
        <f>P132</f>
        <v>0</v>
      </c>
      <c r="AA132" s="144">
        <f>R132</f>
        <v>100</v>
      </c>
      <c r="AC132" s="12">
        <f>T132/100</f>
        <v>1</v>
      </c>
      <c r="AD132" s="12">
        <f t="shared" ref="AD132:AD152" si="136">U132/100</f>
        <v>1</v>
      </c>
      <c r="AE132" s="12">
        <f t="shared" ref="AE132:AE152" si="137">V132/100</f>
        <v>1</v>
      </c>
      <c r="AF132" s="12">
        <f t="shared" ref="AF132:AF152" si="138">W132/100</f>
        <v>1</v>
      </c>
      <c r="AG132" s="12">
        <f t="shared" ref="AG132:AG152" si="139">X132/100</f>
        <v>1</v>
      </c>
      <c r="AH132" s="12">
        <f t="shared" ref="AH132:AH152" si="140">Y132/100</f>
        <v>1</v>
      </c>
      <c r="AI132" s="12">
        <v>1</v>
      </c>
      <c r="AJ132" s="12"/>
      <c r="AL132" s="13">
        <f>AC132</f>
        <v>1</v>
      </c>
      <c r="AM132" s="13">
        <f>AC132</f>
        <v>1</v>
      </c>
      <c r="AN132" s="13">
        <f>AC132</f>
        <v>1</v>
      </c>
      <c r="AO132" s="13">
        <f t="shared" ref="AO132:AO152" si="141">AD132</f>
        <v>1</v>
      </c>
      <c r="AP132" s="13">
        <f t="shared" ref="AP132:AP152" si="142">AE132</f>
        <v>1</v>
      </c>
      <c r="AQ132" s="13">
        <f t="shared" ref="AQ132:AQ152" si="143">AF132</f>
        <v>1</v>
      </c>
      <c r="AR132" s="13">
        <f t="shared" ref="AR132:AR152" si="144">AG132</f>
        <v>1</v>
      </c>
      <c r="AS132" s="13">
        <f t="shared" ref="AS132:AS152" si="145">AH132</f>
        <v>1</v>
      </c>
      <c r="AT132" s="13">
        <f t="shared" ref="AT132:AT152" si="146">AI132</f>
        <v>1</v>
      </c>
      <c r="AU132" s="13">
        <f>AI132</f>
        <v>1</v>
      </c>
      <c r="AV132" s="13">
        <f>AI132</f>
        <v>1</v>
      </c>
      <c r="AW132" s="13">
        <f>AI132</f>
        <v>1</v>
      </c>
    </row>
    <row r="133" spans="2:49" x14ac:dyDescent="0.3">
      <c r="B133" s="195">
        <v>20</v>
      </c>
      <c r="C133" s="144">
        <f>C108+E108+G108</f>
        <v>0</v>
      </c>
      <c r="D133" s="195">
        <f>(C133/C$132)*100</f>
        <v>0</v>
      </c>
      <c r="E133" s="144">
        <f t="shared" ref="E133:E152" si="147">G108+I108+K108</f>
        <v>0</v>
      </c>
      <c r="F133" s="195">
        <f>(E133/E$132)*100</f>
        <v>0</v>
      </c>
      <c r="G133" s="144">
        <f t="shared" ref="G133:G152" si="148">K108</f>
        <v>0</v>
      </c>
      <c r="H133" s="195">
        <f t="shared" ref="H133:H152" si="149">(G133/G$132)*100</f>
        <v>0</v>
      </c>
      <c r="I133" s="144">
        <f t="shared" ref="I133:I152" si="150">M108</f>
        <v>0</v>
      </c>
      <c r="J133" s="195">
        <f t="shared" ref="J133:J152" si="151">(I133/I$132)*100</f>
        <v>0</v>
      </c>
      <c r="K133" s="144">
        <f t="shared" ref="K133:K152" si="152">O108</f>
        <v>0</v>
      </c>
      <c r="L133" s="195">
        <f t="shared" ref="L133:L152" si="153">(K133/K$132)*100</f>
        <v>0</v>
      </c>
      <c r="M133" s="144">
        <f t="shared" ref="M133:M152" si="154">Q108</f>
        <v>0</v>
      </c>
      <c r="N133" s="195">
        <f t="shared" ref="N133:N152" si="155">(M133/M$132)*100</f>
        <v>0</v>
      </c>
      <c r="O133" s="144"/>
      <c r="Q133" s="144">
        <f t="shared" ref="Q133:Q152" si="156">U108+W108+Y108+S108</f>
        <v>0</v>
      </c>
      <c r="R133" s="195">
        <f t="shared" ref="R133:R152" si="157">(Q133/Q$132)*100</f>
        <v>0</v>
      </c>
      <c r="T133" s="144">
        <f t="shared" ref="T133:T152" si="158">D133</f>
        <v>0</v>
      </c>
      <c r="U133" s="144">
        <f t="shared" ref="U133:U152" si="159">F133</f>
        <v>0</v>
      </c>
      <c r="V133" s="144">
        <f t="shared" ref="V133:V152" si="160">H133</f>
        <v>0</v>
      </c>
      <c r="W133" s="144">
        <f t="shared" ref="W133:W152" si="161">J133</f>
        <v>0</v>
      </c>
      <c r="X133" s="144">
        <f t="shared" ref="X133:X152" si="162">L133</f>
        <v>0</v>
      </c>
      <c r="Y133" s="144">
        <f t="shared" ref="Y133:Y152" si="163">N133</f>
        <v>0</v>
      </c>
      <c r="Z133" s="144">
        <f t="shared" ref="Z133:Z152" si="164">P133</f>
        <v>0</v>
      </c>
      <c r="AA133" s="144">
        <f t="shared" ref="AA133:AA152" si="165">R133</f>
        <v>0</v>
      </c>
      <c r="AC133" s="12">
        <f t="shared" ref="AC133:AC152" si="166">T133/100</f>
        <v>0</v>
      </c>
      <c r="AD133" s="12">
        <f t="shared" si="136"/>
        <v>0</v>
      </c>
      <c r="AE133" s="12">
        <f t="shared" si="137"/>
        <v>0</v>
      </c>
      <c r="AF133" s="12">
        <f t="shared" si="138"/>
        <v>0</v>
      </c>
      <c r="AG133" s="12">
        <f t="shared" si="139"/>
        <v>0</v>
      </c>
      <c r="AH133" s="12">
        <f t="shared" si="140"/>
        <v>0</v>
      </c>
      <c r="AI133" s="12">
        <f>R133/100</f>
        <v>0</v>
      </c>
      <c r="AJ133" s="12"/>
      <c r="AL133" s="13">
        <f t="shared" ref="AL133:AL152" si="167">AC133</f>
        <v>0</v>
      </c>
      <c r="AM133" s="13">
        <f t="shared" ref="AM133:AM152" si="168">AC133</f>
        <v>0</v>
      </c>
      <c r="AN133" s="13">
        <f t="shared" ref="AN133:AN152" si="169">AC133</f>
        <v>0</v>
      </c>
      <c r="AO133" s="13">
        <f t="shared" si="141"/>
        <v>0</v>
      </c>
      <c r="AP133" s="13">
        <f t="shared" si="142"/>
        <v>0</v>
      </c>
      <c r="AQ133" s="13">
        <f t="shared" si="143"/>
        <v>0</v>
      </c>
      <c r="AR133" s="13">
        <f t="shared" si="144"/>
        <v>0</v>
      </c>
      <c r="AS133" s="13">
        <f t="shared" si="145"/>
        <v>0</v>
      </c>
      <c r="AT133" s="13">
        <f t="shared" si="146"/>
        <v>0</v>
      </c>
      <c r="AU133" s="13">
        <f t="shared" ref="AU133:AU152" si="170">AI133</f>
        <v>0</v>
      </c>
      <c r="AV133" s="13">
        <f t="shared" ref="AV133:AV152" si="171">AI133</f>
        <v>0</v>
      </c>
      <c r="AW133" s="13">
        <f t="shared" ref="AW133:AW152" si="172">AI133</f>
        <v>0</v>
      </c>
    </row>
    <row r="134" spans="2:49" x14ac:dyDescent="0.3">
      <c r="B134" s="195">
        <v>19</v>
      </c>
      <c r="C134" s="144">
        <f t="shared" ref="C134:C152" si="173">C109+E109+G109</f>
        <v>0</v>
      </c>
      <c r="D134" s="195">
        <f t="shared" ref="D134:F152" si="174">(C134/C$132)*100</f>
        <v>0</v>
      </c>
      <c r="E134" s="144">
        <f t="shared" si="147"/>
        <v>0</v>
      </c>
      <c r="F134" s="195">
        <f t="shared" si="174"/>
        <v>0</v>
      </c>
      <c r="G134" s="144">
        <f t="shared" si="148"/>
        <v>0</v>
      </c>
      <c r="H134" s="195">
        <f t="shared" si="149"/>
        <v>0</v>
      </c>
      <c r="I134" s="144">
        <f t="shared" si="150"/>
        <v>3</v>
      </c>
      <c r="J134" s="195">
        <f t="shared" si="151"/>
        <v>2.0979020979020979</v>
      </c>
      <c r="K134" s="144">
        <f t="shared" si="152"/>
        <v>0</v>
      </c>
      <c r="L134" s="195">
        <f t="shared" si="153"/>
        <v>0</v>
      </c>
      <c r="M134" s="144">
        <f t="shared" si="154"/>
        <v>0</v>
      </c>
      <c r="N134" s="195">
        <f t="shared" si="155"/>
        <v>0</v>
      </c>
      <c r="O134" s="144"/>
      <c r="Q134" s="144">
        <f t="shared" si="156"/>
        <v>0</v>
      </c>
      <c r="R134" s="195">
        <f t="shared" si="157"/>
        <v>0</v>
      </c>
      <c r="T134" s="144">
        <f t="shared" si="158"/>
        <v>0</v>
      </c>
      <c r="U134" s="144">
        <f t="shared" si="159"/>
        <v>0</v>
      </c>
      <c r="V134" s="144">
        <f t="shared" si="160"/>
        <v>0</v>
      </c>
      <c r="W134" s="144">
        <f t="shared" si="161"/>
        <v>2.0979020979020979</v>
      </c>
      <c r="X134" s="144">
        <f t="shared" si="162"/>
        <v>0</v>
      </c>
      <c r="Y134" s="144">
        <f t="shared" si="163"/>
        <v>0</v>
      </c>
      <c r="Z134" s="144">
        <f t="shared" si="164"/>
        <v>0</v>
      </c>
      <c r="AA134" s="144">
        <f t="shared" si="165"/>
        <v>0</v>
      </c>
      <c r="AC134" s="12">
        <f t="shared" si="166"/>
        <v>0</v>
      </c>
      <c r="AD134" s="12">
        <f t="shared" si="136"/>
        <v>0</v>
      </c>
      <c r="AE134" s="12">
        <f t="shared" si="137"/>
        <v>0</v>
      </c>
      <c r="AF134" s="12">
        <f t="shared" si="138"/>
        <v>2.097902097902098E-2</v>
      </c>
      <c r="AG134" s="12">
        <f t="shared" si="139"/>
        <v>0</v>
      </c>
      <c r="AH134" s="12">
        <f t="shared" si="140"/>
        <v>0</v>
      </c>
      <c r="AI134" s="12">
        <f t="shared" ref="AI134:AI152" si="175">R134/100</f>
        <v>0</v>
      </c>
      <c r="AJ134" s="12"/>
      <c r="AL134" s="13">
        <f t="shared" si="167"/>
        <v>0</v>
      </c>
      <c r="AM134" s="13">
        <f t="shared" si="168"/>
        <v>0</v>
      </c>
      <c r="AN134" s="13">
        <f t="shared" si="169"/>
        <v>0</v>
      </c>
      <c r="AO134" s="13">
        <f t="shared" si="141"/>
        <v>0</v>
      </c>
      <c r="AP134" s="13">
        <f t="shared" si="142"/>
        <v>0</v>
      </c>
      <c r="AQ134" s="13">
        <f t="shared" si="143"/>
        <v>2.097902097902098E-2</v>
      </c>
      <c r="AR134" s="13">
        <f t="shared" si="144"/>
        <v>0</v>
      </c>
      <c r="AS134" s="13">
        <f t="shared" si="145"/>
        <v>0</v>
      </c>
      <c r="AT134" s="13">
        <f t="shared" si="146"/>
        <v>0</v>
      </c>
      <c r="AU134" s="13">
        <f t="shared" si="170"/>
        <v>0</v>
      </c>
      <c r="AV134" s="13">
        <f t="shared" si="171"/>
        <v>0</v>
      </c>
      <c r="AW134" s="13">
        <f t="shared" si="172"/>
        <v>0</v>
      </c>
    </row>
    <row r="135" spans="2:49" x14ac:dyDescent="0.3">
      <c r="B135" s="195">
        <v>18</v>
      </c>
      <c r="C135" s="144">
        <f t="shared" si="173"/>
        <v>0</v>
      </c>
      <c r="D135" s="195">
        <f t="shared" si="174"/>
        <v>0</v>
      </c>
      <c r="E135" s="144">
        <f t="shared" si="147"/>
        <v>0</v>
      </c>
      <c r="F135" s="195">
        <f t="shared" si="174"/>
        <v>0</v>
      </c>
      <c r="G135" s="144">
        <f t="shared" si="148"/>
        <v>0</v>
      </c>
      <c r="H135" s="195">
        <f t="shared" si="149"/>
        <v>0</v>
      </c>
      <c r="I135" s="144">
        <f t="shared" si="150"/>
        <v>6</v>
      </c>
      <c r="J135" s="195">
        <f t="shared" si="151"/>
        <v>4.1958041958041958</v>
      </c>
      <c r="K135" s="144">
        <f t="shared" si="152"/>
        <v>0</v>
      </c>
      <c r="L135" s="195">
        <f t="shared" si="153"/>
        <v>0</v>
      </c>
      <c r="M135" s="144">
        <f t="shared" si="154"/>
        <v>0</v>
      </c>
      <c r="N135" s="195">
        <f t="shared" si="155"/>
        <v>0</v>
      </c>
      <c r="O135" s="144"/>
      <c r="Q135" s="144">
        <f t="shared" si="156"/>
        <v>0</v>
      </c>
      <c r="R135" s="195">
        <f t="shared" si="157"/>
        <v>0</v>
      </c>
      <c r="T135" s="144">
        <f t="shared" si="158"/>
        <v>0</v>
      </c>
      <c r="U135" s="144">
        <f t="shared" si="159"/>
        <v>0</v>
      </c>
      <c r="V135" s="144">
        <f t="shared" si="160"/>
        <v>0</v>
      </c>
      <c r="W135" s="144">
        <f t="shared" si="161"/>
        <v>4.1958041958041958</v>
      </c>
      <c r="X135" s="144">
        <f t="shared" si="162"/>
        <v>0</v>
      </c>
      <c r="Y135" s="144">
        <f t="shared" si="163"/>
        <v>0</v>
      </c>
      <c r="Z135" s="144">
        <f t="shared" si="164"/>
        <v>0</v>
      </c>
      <c r="AA135" s="144">
        <f t="shared" si="165"/>
        <v>0</v>
      </c>
      <c r="AC135" s="12">
        <f t="shared" si="166"/>
        <v>0</v>
      </c>
      <c r="AD135" s="12">
        <f t="shared" si="136"/>
        <v>0</v>
      </c>
      <c r="AE135" s="12">
        <f t="shared" si="137"/>
        <v>0</v>
      </c>
      <c r="AF135" s="12">
        <f t="shared" si="138"/>
        <v>4.195804195804196E-2</v>
      </c>
      <c r="AG135" s="12">
        <f t="shared" si="139"/>
        <v>0</v>
      </c>
      <c r="AH135" s="12">
        <f t="shared" si="140"/>
        <v>0</v>
      </c>
      <c r="AI135" s="12">
        <f t="shared" si="175"/>
        <v>0</v>
      </c>
      <c r="AJ135" s="12"/>
      <c r="AL135" s="13">
        <f t="shared" si="167"/>
        <v>0</v>
      </c>
      <c r="AM135" s="13">
        <f t="shared" si="168"/>
        <v>0</v>
      </c>
      <c r="AN135" s="13">
        <f t="shared" si="169"/>
        <v>0</v>
      </c>
      <c r="AO135" s="13">
        <f t="shared" si="141"/>
        <v>0</v>
      </c>
      <c r="AP135" s="13">
        <f t="shared" si="142"/>
        <v>0</v>
      </c>
      <c r="AQ135" s="13">
        <f t="shared" si="143"/>
        <v>4.195804195804196E-2</v>
      </c>
      <c r="AR135" s="13">
        <f t="shared" si="144"/>
        <v>0</v>
      </c>
      <c r="AS135" s="13">
        <f t="shared" si="145"/>
        <v>0</v>
      </c>
      <c r="AT135" s="13">
        <f t="shared" si="146"/>
        <v>0</v>
      </c>
      <c r="AU135" s="13">
        <f t="shared" si="170"/>
        <v>0</v>
      </c>
      <c r="AV135" s="13">
        <f t="shared" si="171"/>
        <v>0</v>
      </c>
      <c r="AW135" s="13">
        <f t="shared" si="172"/>
        <v>0</v>
      </c>
    </row>
    <row r="136" spans="2:49" x14ac:dyDescent="0.3">
      <c r="B136" s="195">
        <v>17</v>
      </c>
      <c r="C136" s="144">
        <f t="shared" si="173"/>
        <v>0</v>
      </c>
      <c r="D136" s="195">
        <f t="shared" si="174"/>
        <v>0</v>
      </c>
      <c r="E136" s="144">
        <f t="shared" si="147"/>
        <v>0</v>
      </c>
      <c r="F136" s="195">
        <f t="shared" si="174"/>
        <v>0</v>
      </c>
      <c r="G136" s="144">
        <f t="shared" si="148"/>
        <v>0</v>
      </c>
      <c r="H136" s="195">
        <f t="shared" si="149"/>
        <v>0</v>
      </c>
      <c r="I136" s="144">
        <f t="shared" si="150"/>
        <v>9</v>
      </c>
      <c r="J136" s="195">
        <f t="shared" si="151"/>
        <v>6.2937062937062942</v>
      </c>
      <c r="K136" s="144">
        <f t="shared" si="152"/>
        <v>0</v>
      </c>
      <c r="L136" s="195">
        <f t="shared" si="153"/>
        <v>0</v>
      </c>
      <c r="M136" s="144">
        <f t="shared" si="154"/>
        <v>0</v>
      </c>
      <c r="N136" s="195">
        <f t="shared" si="155"/>
        <v>0</v>
      </c>
      <c r="O136" s="144"/>
      <c r="Q136" s="144">
        <f t="shared" si="156"/>
        <v>0</v>
      </c>
      <c r="R136" s="195">
        <f t="shared" si="157"/>
        <v>0</v>
      </c>
      <c r="T136" s="144">
        <f t="shared" si="158"/>
        <v>0</v>
      </c>
      <c r="U136" s="144">
        <f t="shared" si="159"/>
        <v>0</v>
      </c>
      <c r="V136" s="144">
        <f t="shared" si="160"/>
        <v>0</v>
      </c>
      <c r="W136" s="144">
        <f t="shared" si="161"/>
        <v>6.2937062937062942</v>
      </c>
      <c r="X136" s="144">
        <f t="shared" si="162"/>
        <v>0</v>
      </c>
      <c r="Y136" s="144">
        <f t="shared" si="163"/>
        <v>0</v>
      </c>
      <c r="Z136" s="144">
        <f t="shared" si="164"/>
        <v>0</v>
      </c>
      <c r="AA136" s="144">
        <f t="shared" si="165"/>
        <v>0</v>
      </c>
      <c r="AC136" s="12">
        <f t="shared" si="166"/>
        <v>0</v>
      </c>
      <c r="AD136" s="12">
        <f t="shared" si="136"/>
        <v>0</v>
      </c>
      <c r="AE136" s="12">
        <f t="shared" si="137"/>
        <v>0</v>
      </c>
      <c r="AF136" s="12">
        <f t="shared" si="138"/>
        <v>6.2937062937062943E-2</v>
      </c>
      <c r="AG136" s="12">
        <f t="shared" si="139"/>
        <v>0</v>
      </c>
      <c r="AH136" s="12">
        <f t="shared" si="140"/>
        <v>0</v>
      </c>
      <c r="AI136" s="12">
        <f t="shared" si="175"/>
        <v>0</v>
      </c>
      <c r="AJ136" s="12"/>
      <c r="AL136" s="13">
        <f t="shared" si="167"/>
        <v>0</v>
      </c>
      <c r="AM136" s="13">
        <f t="shared" si="168"/>
        <v>0</v>
      </c>
      <c r="AN136" s="13">
        <f t="shared" si="169"/>
        <v>0</v>
      </c>
      <c r="AO136" s="13">
        <f t="shared" si="141"/>
        <v>0</v>
      </c>
      <c r="AP136" s="13">
        <f t="shared" si="142"/>
        <v>0</v>
      </c>
      <c r="AQ136" s="13">
        <f t="shared" si="143"/>
        <v>6.2937062937062943E-2</v>
      </c>
      <c r="AR136" s="13">
        <f t="shared" si="144"/>
        <v>0</v>
      </c>
      <c r="AS136" s="13">
        <f t="shared" si="145"/>
        <v>0</v>
      </c>
      <c r="AT136" s="13">
        <f t="shared" si="146"/>
        <v>0</v>
      </c>
      <c r="AU136" s="13">
        <f t="shared" si="170"/>
        <v>0</v>
      </c>
      <c r="AV136" s="13">
        <f t="shared" si="171"/>
        <v>0</v>
      </c>
      <c r="AW136" s="13">
        <f t="shared" si="172"/>
        <v>0</v>
      </c>
    </row>
    <row r="137" spans="2:49" x14ac:dyDescent="0.3">
      <c r="B137" s="195">
        <v>16</v>
      </c>
      <c r="C137" s="144">
        <f t="shared" si="173"/>
        <v>0</v>
      </c>
      <c r="D137" s="195">
        <f t="shared" si="174"/>
        <v>0</v>
      </c>
      <c r="E137" s="144">
        <f t="shared" si="147"/>
        <v>0</v>
      </c>
      <c r="F137" s="195">
        <f t="shared" si="174"/>
        <v>0</v>
      </c>
      <c r="G137" s="144">
        <f t="shared" si="148"/>
        <v>0</v>
      </c>
      <c r="H137" s="195">
        <f t="shared" si="149"/>
        <v>0</v>
      </c>
      <c r="I137" s="144">
        <f t="shared" si="150"/>
        <v>12</v>
      </c>
      <c r="J137" s="195">
        <f t="shared" si="151"/>
        <v>8.3916083916083917</v>
      </c>
      <c r="K137" s="144">
        <f t="shared" si="152"/>
        <v>0</v>
      </c>
      <c r="L137" s="195">
        <f t="shared" si="153"/>
        <v>0</v>
      </c>
      <c r="M137" s="144">
        <f t="shared" si="154"/>
        <v>0</v>
      </c>
      <c r="N137" s="195">
        <f t="shared" si="155"/>
        <v>0</v>
      </c>
      <c r="O137" s="144"/>
      <c r="Q137" s="144">
        <f t="shared" si="156"/>
        <v>0</v>
      </c>
      <c r="R137" s="195">
        <f t="shared" si="157"/>
        <v>0</v>
      </c>
      <c r="T137" s="144">
        <f t="shared" si="158"/>
        <v>0</v>
      </c>
      <c r="U137" s="144">
        <f t="shared" si="159"/>
        <v>0</v>
      </c>
      <c r="V137" s="144">
        <f t="shared" si="160"/>
        <v>0</v>
      </c>
      <c r="W137" s="144">
        <f t="shared" si="161"/>
        <v>8.3916083916083917</v>
      </c>
      <c r="X137" s="144">
        <f t="shared" si="162"/>
        <v>0</v>
      </c>
      <c r="Y137" s="144">
        <f t="shared" si="163"/>
        <v>0</v>
      </c>
      <c r="Z137" s="144">
        <f t="shared" si="164"/>
        <v>0</v>
      </c>
      <c r="AA137" s="144">
        <f t="shared" si="165"/>
        <v>0</v>
      </c>
      <c r="AC137" s="12">
        <f t="shared" si="166"/>
        <v>0</v>
      </c>
      <c r="AD137" s="12">
        <f t="shared" si="136"/>
        <v>0</v>
      </c>
      <c r="AE137" s="12">
        <f t="shared" si="137"/>
        <v>0</v>
      </c>
      <c r="AF137" s="12">
        <f t="shared" si="138"/>
        <v>8.3916083916083919E-2</v>
      </c>
      <c r="AG137" s="12">
        <f t="shared" si="139"/>
        <v>0</v>
      </c>
      <c r="AH137" s="12">
        <f t="shared" si="140"/>
        <v>0</v>
      </c>
      <c r="AI137" s="12">
        <f t="shared" si="175"/>
        <v>0</v>
      </c>
      <c r="AJ137" s="12"/>
      <c r="AL137" s="13">
        <f t="shared" si="167"/>
        <v>0</v>
      </c>
      <c r="AM137" s="13">
        <f t="shared" si="168"/>
        <v>0</v>
      </c>
      <c r="AN137" s="13">
        <f t="shared" si="169"/>
        <v>0</v>
      </c>
      <c r="AO137" s="13">
        <f t="shared" si="141"/>
        <v>0</v>
      </c>
      <c r="AP137" s="13">
        <f t="shared" si="142"/>
        <v>0</v>
      </c>
      <c r="AQ137" s="13">
        <f t="shared" si="143"/>
        <v>8.3916083916083919E-2</v>
      </c>
      <c r="AR137" s="13">
        <f t="shared" si="144"/>
        <v>0</v>
      </c>
      <c r="AS137" s="13">
        <f t="shared" si="145"/>
        <v>0</v>
      </c>
      <c r="AT137" s="13">
        <f t="shared" si="146"/>
        <v>0</v>
      </c>
      <c r="AU137" s="13">
        <f t="shared" si="170"/>
        <v>0</v>
      </c>
      <c r="AV137" s="13">
        <f t="shared" si="171"/>
        <v>0</v>
      </c>
      <c r="AW137" s="13">
        <f t="shared" si="172"/>
        <v>0</v>
      </c>
    </row>
    <row r="138" spans="2:49" x14ac:dyDescent="0.3">
      <c r="B138" s="195">
        <v>15</v>
      </c>
      <c r="C138" s="144">
        <f t="shared" si="173"/>
        <v>0</v>
      </c>
      <c r="D138" s="195">
        <f t="shared" si="174"/>
        <v>0</v>
      </c>
      <c r="E138" s="144">
        <f t="shared" si="147"/>
        <v>0</v>
      </c>
      <c r="F138" s="195">
        <f t="shared" si="174"/>
        <v>0</v>
      </c>
      <c r="G138" s="144">
        <f t="shared" si="148"/>
        <v>0</v>
      </c>
      <c r="H138" s="195">
        <f t="shared" si="149"/>
        <v>0</v>
      </c>
      <c r="I138" s="144">
        <f t="shared" si="150"/>
        <v>15</v>
      </c>
      <c r="J138" s="195">
        <f t="shared" si="151"/>
        <v>10.48951048951049</v>
      </c>
      <c r="K138" s="144">
        <f t="shared" si="152"/>
        <v>0</v>
      </c>
      <c r="L138" s="195">
        <f t="shared" si="153"/>
        <v>0</v>
      </c>
      <c r="M138" s="144">
        <f t="shared" si="154"/>
        <v>0</v>
      </c>
      <c r="N138" s="195">
        <f t="shared" si="155"/>
        <v>0</v>
      </c>
      <c r="O138" s="144"/>
      <c r="Q138" s="144">
        <f t="shared" si="156"/>
        <v>0</v>
      </c>
      <c r="R138" s="195">
        <f t="shared" si="157"/>
        <v>0</v>
      </c>
      <c r="T138" s="144">
        <f t="shared" si="158"/>
        <v>0</v>
      </c>
      <c r="U138" s="144">
        <f t="shared" si="159"/>
        <v>0</v>
      </c>
      <c r="V138" s="144">
        <f t="shared" si="160"/>
        <v>0</v>
      </c>
      <c r="W138" s="144">
        <f t="shared" si="161"/>
        <v>10.48951048951049</v>
      </c>
      <c r="X138" s="144">
        <f t="shared" si="162"/>
        <v>0</v>
      </c>
      <c r="Y138" s="144">
        <f t="shared" si="163"/>
        <v>0</v>
      </c>
      <c r="Z138" s="144">
        <f t="shared" si="164"/>
        <v>0</v>
      </c>
      <c r="AA138" s="144">
        <f t="shared" si="165"/>
        <v>0</v>
      </c>
      <c r="AC138" s="12">
        <f t="shared" si="166"/>
        <v>0</v>
      </c>
      <c r="AD138" s="12">
        <f t="shared" si="136"/>
        <v>0</v>
      </c>
      <c r="AE138" s="12">
        <f t="shared" si="137"/>
        <v>0</v>
      </c>
      <c r="AF138" s="12">
        <f t="shared" si="138"/>
        <v>0.1048951048951049</v>
      </c>
      <c r="AG138" s="12">
        <f t="shared" si="139"/>
        <v>0</v>
      </c>
      <c r="AH138" s="12">
        <f t="shared" si="140"/>
        <v>0</v>
      </c>
      <c r="AI138" s="12">
        <f t="shared" si="175"/>
        <v>0</v>
      </c>
      <c r="AJ138" s="12"/>
      <c r="AL138" s="13">
        <f t="shared" si="167"/>
        <v>0</v>
      </c>
      <c r="AM138" s="13">
        <f t="shared" si="168"/>
        <v>0</v>
      </c>
      <c r="AN138" s="13">
        <f t="shared" si="169"/>
        <v>0</v>
      </c>
      <c r="AO138" s="13">
        <f t="shared" si="141"/>
        <v>0</v>
      </c>
      <c r="AP138" s="13">
        <f t="shared" si="142"/>
        <v>0</v>
      </c>
      <c r="AQ138" s="13">
        <f t="shared" si="143"/>
        <v>0.1048951048951049</v>
      </c>
      <c r="AR138" s="13">
        <f t="shared" si="144"/>
        <v>0</v>
      </c>
      <c r="AS138" s="13">
        <f t="shared" si="145"/>
        <v>0</v>
      </c>
      <c r="AT138" s="13">
        <f t="shared" si="146"/>
        <v>0</v>
      </c>
      <c r="AU138" s="13">
        <f t="shared" si="170"/>
        <v>0</v>
      </c>
      <c r="AV138" s="13">
        <f t="shared" si="171"/>
        <v>0</v>
      </c>
      <c r="AW138" s="13">
        <f t="shared" si="172"/>
        <v>0</v>
      </c>
    </row>
    <row r="139" spans="2:49" x14ac:dyDescent="0.3">
      <c r="B139" s="195">
        <v>14</v>
      </c>
      <c r="C139" s="144">
        <f t="shared" si="173"/>
        <v>0</v>
      </c>
      <c r="D139" s="195">
        <f t="shared" si="174"/>
        <v>0</v>
      </c>
      <c r="E139" s="144">
        <f t="shared" si="147"/>
        <v>0</v>
      </c>
      <c r="F139" s="195">
        <f t="shared" si="174"/>
        <v>0</v>
      </c>
      <c r="G139" s="144">
        <f t="shared" si="148"/>
        <v>0</v>
      </c>
      <c r="H139" s="195">
        <f t="shared" si="149"/>
        <v>0</v>
      </c>
      <c r="I139" s="144">
        <f t="shared" si="150"/>
        <v>18</v>
      </c>
      <c r="J139" s="195">
        <f t="shared" si="151"/>
        <v>12.587412587412588</v>
      </c>
      <c r="K139" s="144">
        <f t="shared" si="152"/>
        <v>0</v>
      </c>
      <c r="L139" s="195">
        <f t="shared" si="153"/>
        <v>0</v>
      </c>
      <c r="M139" s="144">
        <f t="shared" si="154"/>
        <v>0</v>
      </c>
      <c r="N139" s="195">
        <f t="shared" si="155"/>
        <v>0</v>
      </c>
      <c r="O139" s="144"/>
      <c r="Q139" s="144">
        <f t="shared" si="156"/>
        <v>0</v>
      </c>
      <c r="R139" s="195">
        <f t="shared" si="157"/>
        <v>0</v>
      </c>
      <c r="T139" s="144">
        <f t="shared" si="158"/>
        <v>0</v>
      </c>
      <c r="U139" s="144">
        <f t="shared" si="159"/>
        <v>0</v>
      </c>
      <c r="V139" s="144">
        <f t="shared" si="160"/>
        <v>0</v>
      </c>
      <c r="W139" s="144">
        <f t="shared" si="161"/>
        <v>12.587412587412588</v>
      </c>
      <c r="X139" s="144">
        <f t="shared" si="162"/>
        <v>0</v>
      </c>
      <c r="Y139" s="144">
        <f t="shared" si="163"/>
        <v>0</v>
      </c>
      <c r="Z139" s="144">
        <f t="shared" si="164"/>
        <v>0</v>
      </c>
      <c r="AA139" s="144">
        <f t="shared" si="165"/>
        <v>0</v>
      </c>
      <c r="AC139" s="12">
        <f t="shared" si="166"/>
        <v>0</v>
      </c>
      <c r="AD139" s="12">
        <f t="shared" si="136"/>
        <v>0</v>
      </c>
      <c r="AE139" s="12">
        <f t="shared" si="137"/>
        <v>0</v>
      </c>
      <c r="AF139" s="12">
        <f t="shared" si="138"/>
        <v>0.12587412587412589</v>
      </c>
      <c r="AG139" s="12">
        <f t="shared" si="139"/>
        <v>0</v>
      </c>
      <c r="AH139" s="12">
        <f t="shared" si="140"/>
        <v>0</v>
      </c>
      <c r="AI139" s="12">
        <f t="shared" si="175"/>
        <v>0</v>
      </c>
      <c r="AJ139" s="12"/>
      <c r="AL139" s="13">
        <f t="shared" si="167"/>
        <v>0</v>
      </c>
      <c r="AM139" s="13">
        <f t="shared" si="168"/>
        <v>0</v>
      </c>
      <c r="AN139" s="13">
        <f t="shared" si="169"/>
        <v>0</v>
      </c>
      <c r="AO139" s="13">
        <f t="shared" si="141"/>
        <v>0</v>
      </c>
      <c r="AP139" s="13">
        <f t="shared" si="142"/>
        <v>0</v>
      </c>
      <c r="AQ139" s="13">
        <f t="shared" si="143"/>
        <v>0.12587412587412589</v>
      </c>
      <c r="AR139" s="13">
        <f t="shared" si="144"/>
        <v>0</v>
      </c>
      <c r="AS139" s="13">
        <f t="shared" si="145"/>
        <v>0</v>
      </c>
      <c r="AT139" s="13">
        <f t="shared" si="146"/>
        <v>0</v>
      </c>
      <c r="AU139" s="13">
        <f t="shared" si="170"/>
        <v>0</v>
      </c>
      <c r="AV139" s="13">
        <f t="shared" si="171"/>
        <v>0</v>
      </c>
      <c r="AW139" s="13">
        <f t="shared" si="172"/>
        <v>0</v>
      </c>
    </row>
    <row r="140" spans="2:49" x14ac:dyDescent="0.3">
      <c r="B140" s="195">
        <v>13</v>
      </c>
      <c r="C140" s="144">
        <f t="shared" si="173"/>
        <v>0</v>
      </c>
      <c r="D140" s="195">
        <f t="shared" si="174"/>
        <v>0</v>
      </c>
      <c r="E140" s="144">
        <f t="shared" si="147"/>
        <v>0</v>
      </c>
      <c r="F140" s="195">
        <f t="shared" si="174"/>
        <v>0</v>
      </c>
      <c r="G140" s="144">
        <f t="shared" si="148"/>
        <v>0</v>
      </c>
      <c r="H140" s="195">
        <f t="shared" si="149"/>
        <v>0</v>
      </c>
      <c r="I140" s="144">
        <f t="shared" si="150"/>
        <v>21</v>
      </c>
      <c r="J140" s="195">
        <f t="shared" si="151"/>
        <v>14.685314685314685</v>
      </c>
      <c r="K140" s="144">
        <f t="shared" si="152"/>
        <v>0</v>
      </c>
      <c r="L140" s="195">
        <f t="shared" si="153"/>
        <v>0</v>
      </c>
      <c r="M140" s="144">
        <f t="shared" si="154"/>
        <v>0</v>
      </c>
      <c r="N140" s="195">
        <f t="shared" si="155"/>
        <v>0</v>
      </c>
      <c r="O140" s="144"/>
      <c r="Q140" s="144">
        <f t="shared" si="156"/>
        <v>0</v>
      </c>
      <c r="R140" s="195">
        <f t="shared" si="157"/>
        <v>0</v>
      </c>
      <c r="T140" s="144">
        <f t="shared" si="158"/>
        <v>0</v>
      </c>
      <c r="U140" s="144">
        <f t="shared" si="159"/>
        <v>0</v>
      </c>
      <c r="V140" s="144">
        <f t="shared" si="160"/>
        <v>0</v>
      </c>
      <c r="W140" s="144">
        <f t="shared" si="161"/>
        <v>14.685314685314685</v>
      </c>
      <c r="X140" s="144">
        <f t="shared" si="162"/>
        <v>0</v>
      </c>
      <c r="Y140" s="144">
        <f t="shared" si="163"/>
        <v>0</v>
      </c>
      <c r="Z140" s="144">
        <f t="shared" si="164"/>
        <v>0</v>
      </c>
      <c r="AA140" s="144">
        <f t="shared" si="165"/>
        <v>0</v>
      </c>
      <c r="AC140" s="12">
        <f t="shared" si="166"/>
        <v>0</v>
      </c>
      <c r="AD140" s="12">
        <f t="shared" si="136"/>
        <v>0</v>
      </c>
      <c r="AE140" s="12">
        <f t="shared" si="137"/>
        <v>0</v>
      </c>
      <c r="AF140" s="12">
        <f t="shared" si="138"/>
        <v>0.14685314685314685</v>
      </c>
      <c r="AG140" s="12">
        <f t="shared" si="139"/>
        <v>0</v>
      </c>
      <c r="AH140" s="12">
        <f t="shared" si="140"/>
        <v>0</v>
      </c>
      <c r="AI140" s="12">
        <f t="shared" si="175"/>
        <v>0</v>
      </c>
      <c r="AJ140" s="12"/>
      <c r="AL140" s="13">
        <f t="shared" si="167"/>
        <v>0</v>
      </c>
      <c r="AM140" s="13">
        <f t="shared" si="168"/>
        <v>0</v>
      </c>
      <c r="AN140" s="13">
        <f t="shared" si="169"/>
        <v>0</v>
      </c>
      <c r="AO140" s="13">
        <f t="shared" si="141"/>
        <v>0</v>
      </c>
      <c r="AP140" s="13">
        <f t="shared" si="142"/>
        <v>0</v>
      </c>
      <c r="AQ140" s="13">
        <f t="shared" si="143"/>
        <v>0.14685314685314685</v>
      </c>
      <c r="AR140" s="13">
        <f t="shared" si="144"/>
        <v>0</v>
      </c>
      <c r="AS140" s="13">
        <f t="shared" si="145"/>
        <v>0</v>
      </c>
      <c r="AT140" s="13">
        <f t="shared" si="146"/>
        <v>0</v>
      </c>
      <c r="AU140" s="13">
        <f t="shared" si="170"/>
        <v>0</v>
      </c>
      <c r="AV140" s="13">
        <f t="shared" si="171"/>
        <v>0</v>
      </c>
      <c r="AW140" s="13">
        <f t="shared" si="172"/>
        <v>0</v>
      </c>
    </row>
    <row r="141" spans="2:49" x14ac:dyDescent="0.3">
      <c r="B141" s="50">
        <v>12</v>
      </c>
      <c r="C141" s="144">
        <f t="shared" si="173"/>
        <v>0</v>
      </c>
      <c r="D141" s="195">
        <f t="shared" si="174"/>
        <v>0</v>
      </c>
      <c r="E141" s="144">
        <f t="shared" si="147"/>
        <v>0</v>
      </c>
      <c r="F141" s="195">
        <f t="shared" si="174"/>
        <v>0</v>
      </c>
      <c r="G141" s="144">
        <f t="shared" si="148"/>
        <v>0</v>
      </c>
      <c r="H141" s="195">
        <f t="shared" si="149"/>
        <v>0</v>
      </c>
      <c r="I141" s="144">
        <f t="shared" si="150"/>
        <v>24</v>
      </c>
      <c r="J141" s="195">
        <f t="shared" si="151"/>
        <v>16.783216783216783</v>
      </c>
      <c r="K141" s="144">
        <f t="shared" si="152"/>
        <v>0</v>
      </c>
      <c r="L141" s="195">
        <f t="shared" si="153"/>
        <v>0</v>
      </c>
      <c r="M141" s="144">
        <f t="shared" si="154"/>
        <v>0</v>
      </c>
      <c r="N141" s="195">
        <f t="shared" si="155"/>
        <v>0</v>
      </c>
      <c r="O141" s="144"/>
      <c r="Q141" s="144">
        <f t="shared" si="156"/>
        <v>0</v>
      </c>
      <c r="R141" s="195">
        <f t="shared" si="157"/>
        <v>0</v>
      </c>
      <c r="T141" s="144">
        <f t="shared" si="158"/>
        <v>0</v>
      </c>
      <c r="U141" s="144">
        <f t="shared" si="159"/>
        <v>0</v>
      </c>
      <c r="V141" s="144">
        <f t="shared" si="160"/>
        <v>0</v>
      </c>
      <c r="W141" s="144">
        <f t="shared" si="161"/>
        <v>16.783216783216783</v>
      </c>
      <c r="X141" s="144">
        <f t="shared" si="162"/>
        <v>0</v>
      </c>
      <c r="Y141" s="144">
        <f t="shared" si="163"/>
        <v>0</v>
      </c>
      <c r="Z141" s="144">
        <f t="shared" si="164"/>
        <v>0</v>
      </c>
      <c r="AA141" s="144">
        <f t="shared" si="165"/>
        <v>0</v>
      </c>
      <c r="AC141" s="12">
        <f t="shared" si="166"/>
        <v>0</v>
      </c>
      <c r="AD141" s="12">
        <f t="shared" si="136"/>
        <v>0</v>
      </c>
      <c r="AE141" s="12">
        <f t="shared" si="137"/>
        <v>0</v>
      </c>
      <c r="AF141" s="12">
        <f t="shared" si="138"/>
        <v>0.16783216783216784</v>
      </c>
      <c r="AG141" s="12">
        <f t="shared" si="139"/>
        <v>0</v>
      </c>
      <c r="AH141" s="12">
        <f t="shared" si="140"/>
        <v>0</v>
      </c>
      <c r="AI141" s="12">
        <f t="shared" si="175"/>
        <v>0</v>
      </c>
      <c r="AJ141" s="12"/>
      <c r="AL141" s="13">
        <f t="shared" si="167"/>
        <v>0</v>
      </c>
      <c r="AM141" s="13">
        <f t="shared" si="168"/>
        <v>0</v>
      </c>
      <c r="AN141" s="13">
        <f t="shared" si="169"/>
        <v>0</v>
      </c>
      <c r="AO141" s="13">
        <f t="shared" si="141"/>
        <v>0</v>
      </c>
      <c r="AP141" s="13">
        <f t="shared" si="142"/>
        <v>0</v>
      </c>
      <c r="AQ141" s="13">
        <f t="shared" si="143"/>
        <v>0.16783216783216784</v>
      </c>
      <c r="AR141" s="13">
        <f t="shared" si="144"/>
        <v>0</v>
      </c>
      <c r="AS141" s="13">
        <f t="shared" si="145"/>
        <v>0</v>
      </c>
      <c r="AT141" s="13">
        <f t="shared" si="146"/>
        <v>0</v>
      </c>
      <c r="AU141" s="13">
        <f t="shared" si="170"/>
        <v>0</v>
      </c>
      <c r="AV141" s="13">
        <f t="shared" si="171"/>
        <v>0</v>
      </c>
      <c r="AW141" s="13">
        <f t="shared" si="172"/>
        <v>0</v>
      </c>
    </row>
    <row r="142" spans="2:49" x14ac:dyDescent="0.3">
      <c r="B142" s="50">
        <v>11</v>
      </c>
      <c r="C142" s="144">
        <f t="shared" si="173"/>
        <v>1</v>
      </c>
      <c r="D142" s="195">
        <f t="shared" si="174"/>
        <v>2.1739130434782608</v>
      </c>
      <c r="E142" s="144">
        <f t="shared" si="147"/>
        <v>1</v>
      </c>
      <c r="F142" s="195">
        <f t="shared" si="174"/>
        <v>1.1904761904761905</v>
      </c>
      <c r="G142" s="144">
        <f t="shared" si="148"/>
        <v>0</v>
      </c>
      <c r="H142" s="195">
        <f t="shared" si="149"/>
        <v>0</v>
      </c>
      <c r="I142" s="144">
        <f t="shared" si="150"/>
        <v>27</v>
      </c>
      <c r="J142" s="195">
        <f t="shared" si="151"/>
        <v>18.88111888111888</v>
      </c>
      <c r="K142" s="144">
        <f t="shared" si="152"/>
        <v>0</v>
      </c>
      <c r="L142" s="195">
        <f t="shared" si="153"/>
        <v>0</v>
      </c>
      <c r="M142" s="144">
        <f t="shared" si="154"/>
        <v>0</v>
      </c>
      <c r="N142" s="195">
        <f t="shared" si="155"/>
        <v>0</v>
      </c>
      <c r="O142" s="144"/>
      <c r="Q142" s="144">
        <f t="shared" si="156"/>
        <v>0</v>
      </c>
      <c r="R142" s="195">
        <f t="shared" si="157"/>
        <v>0</v>
      </c>
      <c r="T142" s="144">
        <f t="shared" si="158"/>
        <v>2.1739130434782608</v>
      </c>
      <c r="U142" s="144">
        <f t="shared" si="159"/>
        <v>1.1904761904761905</v>
      </c>
      <c r="V142" s="144">
        <f t="shared" si="160"/>
        <v>0</v>
      </c>
      <c r="W142" s="144">
        <f t="shared" si="161"/>
        <v>18.88111888111888</v>
      </c>
      <c r="X142" s="144">
        <f t="shared" si="162"/>
        <v>0</v>
      </c>
      <c r="Y142" s="144">
        <f t="shared" si="163"/>
        <v>0</v>
      </c>
      <c r="Z142" s="144">
        <f t="shared" si="164"/>
        <v>0</v>
      </c>
      <c r="AA142" s="144">
        <f t="shared" si="165"/>
        <v>0</v>
      </c>
      <c r="AC142" s="12">
        <f t="shared" si="166"/>
        <v>2.1739130434782608E-2</v>
      </c>
      <c r="AD142" s="12">
        <f t="shared" si="136"/>
        <v>1.1904761904761904E-2</v>
      </c>
      <c r="AE142" s="12">
        <f t="shared" si="137"/>
        <v>0</v>
      </c>
      <c r="AF142" s="12">
        <f t="shared" si="138"/>
        <v>0.1888111888111888</v>
      </c>
      <c r="AG142" s="12">
        <f t="shared" si="139"/>
        <v>0</v>
      </c>
      <c r="AH142" s="12">
        <f t="shared" si="140"/>
        <v>0</v>
      </c>
      <c r="AI142" s="12">
        <f t="shared" si="175"/>
        <v>0</v>
      </c>
      <c r="AJ142" s="12"/>
      <c r="AL142" s="13">
        <f t="shared" si="167"/>
        <v>2.1739130434782608E-2</v>
      </c>
      <c r="AM142" s="13">
        <f t="shared" si="168"/>
        <v>2.1739130434782608E-2</v>
      </c>
      <c r="AN142" s="13">
        <f t="shared" si="169"/>
        <v>2.1739130434782608E-2</v>
      </c>
      <c r="AO142" s="13">
        <f t="shared" si="141"/>
        <v>1.1904761904761904E-2</v>
      </c>
      <c r="AP142" s="13">
        <f t="shared" si="142"/>
        <v>0</v>
      </c>
      <c r="AQ142" s="13">
        <f t="shared" si="143"/>
        <v>0.1888111888111888</v>
      </c>
      <c r="AR142" s="13">
        <f t="shared" si="144"/>
        <v>0</v>
      </c>
      <c r="AS142" s="13">
        <f t="shared" si="145"/>
        <v>0</v>
      </c>
      <c r="AT142" s="13">
        <f t="shared" si="146"/>
        <v>0</v>
      </c>
      <c r="AU142" s="13">
        <f t="shared" si="170"/>
        <v>0</v>
      </c>
      <c r="AV142" s="13">
        <f t="shared" si="171"/>
        <v>0</v>
      </c>
      <c r="AW142" s="13">
        <f t="shared" si="172"/>
        <v>0</v>
      </c>
    </row>
    <row r="143" spans="2:49" x14ac:dyDescent="0.3">
      <c r="B143" s="195">
        <v>10</v>
      </c>
      <c r="C143" s="144">
        <f t="shared" si="173"/>
        <v>2</v>
      </c>
      <c r="D143" s="195">
        <f t="shared" si="174"/>
        <v>4.3478260869565215</v>
      </c>
      <c r="E143" s="144">
        <f t="shared" si="147"/>
        <v>2</v>
      </c>
      <c r="F143" s="195">
        <f t="shared" si="174"/>
        <v>2.3809523809523809</v>
      </c>
      <c r="G143" s="144">
        <f t="shared" si="148"/>
        <v>0</v>
      </c>
      <c r="H143" s="195">
        <f t="shared" si="149"/>
        <v>0</v>
      </c>
      <c r="I143" s="144">
        <f t="shared" si="150"/>
        <v>30</v>
      </c>
      <c r="J143" s="195">
        <f t="shared" si="151"/>
        <v>20.97902097902098</v>
      </c>
      <c r="K143" s="144">
        <f t="shared" si="152"/>
        <v>1</v>
      </c>
      <c r="L143" s="195">
        <f t="shared" si="153"/>
        <v>1.5384615384615385</v>
      </c>
      <c r="M143" s="144">
        <f t="shared" si="154"/>
        <v>0</v>
      </c>
      <c r="N143" s="195">
        <f t="shared" si="155"/>
        <v>0</v>
      </c>
      <c r="O143" s="144"/>
      <c r="Q143" s="144">
        <f t="shared" si="156"/>
        <v>0</v>
      </c>
      <c r="R143" s="195">
        <f t="shared" si="157"/>
        <v>0</v>
      </c>
      <c r="T143" s="144">
        <f t="shared" si="158"/>
        <v>4.3478260869565215</v>
      </c>
      <c r="U143" s="144">
        <f t="shared" si="159"/>
        <v>2.3809523809523809</v>
      </c>
      <c r="V143" s="144">
        <f t="shared" si="160"/>
        <v>0</v>
      </c>
      <c r="W143" s="144">
        <f t="shared" si="161"/>
        <v>20.97902097902098</v>
      </c>
      <c r="X143" s="144">
        <f t="shared" si="162"/>
        <v>1.5384615384615385</v>
      </c>
      <c r="Y143" s="144">
        <f t="shared" si="163"/>
        <v>0</v>
      </c>
      <c r="Z143" s="144">
        <f t="shared" si="164"/>
        <v>0</v>
      </c>
      <c r="AA143" s="144">
        <f t="shared" si="165"/>
        <v>0</v>
      </c>
      <c r="AC143" s="12">
        <f t="shared" si="166"/>
        <v>4.3478260869565216E-2</v>
      </c>
      <c r="AD143" s="12">
        <f t="shared" si="136"/>
        <v>2.3809523809523808E-2</v>
      </c>
      <c r="AE143" s="12">
        <f t="shared" si="137"/>
        <v>0</v>
      </c>
      <c r="AF143" s="12">
        <f t="shared" si="138"/>
        <v>0.20979020979020979</v>
      </c>
      <c r="AG143" s="12">
        <f t="shared" si="139"/>
        <v>1.5384615384615385E-2</v>
      </c>
      <c r="AH143" s="12">
        <f t="shared" si="140"/>
        <v>0</v>
      </c>
      <c r="AI143" s="12">
        <f t="shared" si="175"/>
        <v>0</v>
      </c>
      <c r="AJ143" s="12"/>
      <c r="AL143" s="13">
        <f t="shared" si="167"/>
        <v>4.3478260869565216E-2</v>
      </c>
      <c r="AM143" s="13">
        <f t="shared" si="168"/>
        <v>4.3478260869565216E-2</v>
      </c>
      <c r="AN143" s="13">
        <f t="shared" si="169"/>
        <v>4.3478260869565216E-2</v>
      </c>
      <c r="AO143" s="13">
        <f t="shared" si="141"/>
        <v>2.3809523809523808E-2</v>
      </c>
      <c r="AP143" s="13">
        <f t="shared" si="142"/>
        <v>0</v>
      </c>
      <c r="AQ143" s="13">
        <f t="shared" si="143"/>
        <v>0.20979020979020979</v>
      </c>
      <c r="AR143" s="13">
        <f t="shared" si="144"/>
        <v>1.5384615384615385E-2</v>
      </c>
      <c r="AS143" s="13">
        <f t="shared" si="145"/>
        <v>0</v>
      </c>
      <c r="AT143" s="13">
        <f t="shared" si="146"/>
        <v>0</v>
      </c>
      <c r="AU143" s="13">
        <f t="shared" si="170"/>
        <v>0</v>
      </c>
      <c r="AV143" s="13">
        <f t="shared" si="171"/>
        <v>0</v>
      </c>
      <c r="AW143" s="13">
        <f t="shared" si="172"/>
        <v>0</v>
      </c>
    </row>
    <row r="144" spans="2:49" x14ac:dyDescent="0.3">
      <c r="B144" s="195">
        <v>9</v>
      </c>
      <c r="C144" s="144">
        <f t="shared" si="173"/>
        <v>3</v>
      </c>
      <c r="D144" s="195">
        <f t="shared" si="174"/>
        <v>6.5217391304347823</v>
      </c>
      <c r="E144" s="144">
        <f t="shared" si="147"/>
        <v>3</v>
      </c>
      <c r="F144" s="195">
        <f t="shared" si="174"/>
        <v>3.5714285714285712</v>
      </c>
      <c r="G144" s="144">
        <f t="shared" si="148"/>
        <v>0</v>
      </c>
      <c r="H144" s="195">
        <f t="shared" si="149"/>
        <v>0</v>
      </c>
      <c r="I144" s="144">
        <f t="shared" si="150"/>
        <v>33</v>
      </c>
      <c r="J144" s="195">
        <f t="shared" si="151"/>
        <v>23.076923076923077</v>
      </c>
      <c r="K144" s="144">
        <f t="shared" si="152"/>
        <v>2</v>
      </c>
      <c r="L144" s="195">
        <f t="shared" si="153"/>
        <v>3.0769230769230771</v>
      </c>
      <c r="M144" s="144">
        <f t="shared" si="154"/>
        <v>0</v>
      </c>
      <c r="N144" s="195">
        <f t="shared" si="155"/>
        <v>0</v>
      </c>
      <c r="O144" s="144"/>
      <c r="Q144" s="144">
        <f t="shared" si="156"/>
        <v>0</v>
      </c>
      <c r="R144" s="195">
        <f t="shared" si="157"/>
        <v>0</v>
      </c>
      <c r="T144" s="144">
        <f t="shared" si="158"/>
        <v>6.5217391304347823</v>
      </c>
      <c r="U144" s="144">
        <f t="shared" si="159"/>
        <v>3.5714285714285712</v>
      </c>
      <c r="V144" s="144">
        <f t="shared" si="160"/>
        <v>0</v>
      </c>
      <c r="W144" s="144">
        <f t="shared" si="161"/>
        <v>23.076923076923077</v>
      </c>
      <c r="X144" s="144">
        <f t="shared" si="162"/>
        <v>3.0769230769230771</v>
      </c>
      <c r="Y144" s="144">
        <f t="shared" si="163"/>
        <v>0</v>
      </c>
      <c r="Z144" s="144">
        <f t="shared" si="164"/>
        <v>0</v>
      </c>
      <c r="AA144" s="144">
        <f t="shared" si="165"/>
        <v>0</v>
      </c>
      <c r="AC144" s="12">
        <f t="shared" si="166"/>
        <v>6.5217391304347824E-2</v>
      </c>
      <c r="AD144" s="12">
        <f t="shared" si="136"/>
        <v>3.5714285714285712E-2</v>
      </c>
      <c r="AE144" s="12">
        <f t="shared" si="137"/>
        <v>0</v>
      </c>
      <c r="AF144" s="12">
        <f t="shared" si="138"/>
        <v>0.23076923076923075</v>
      </c>
      <c r="AG144" s="12">
        <f t="shared" si="139"/>
        <v>3.0769230769230771E-2</v>
      </c>
      <c r="AH144" s="12">
        <f t="shared" si="140"/>
        <v>0</v>
      </c>
      <c r="AI144" s="12">
        <f t="shared" si="175"/>
        <v>0</v>
      </c>
      <c r="AJ144" s="12"/>
      <c r="AL144" s="13">
        <f t="shared" si="167"/>
        <v>6.5217391304347824E-2</v>
      </c>
      <c r="AM144" s="13">
        <f t="shared" si="168"/>
        <v>6.5217391304347824E-2</v>
      </c>
      <c r="AN144" s="13">
        <f t="shared" si="169"/>
        <v>6.5217391304347824E-2</v>
      </c>
      <c r="AO144" s="13">
        <f t="shared" si="141"/>
        <v>3.5714285714285712E-2</v>
      </c>
      <c r="AP144" s="13">
        <f t="shared" si="142"/>
        <v>0</v>
      </c>
      <c r="AQ144" s="13">
        <f t="shared" si="143"/>
        <v>0.23076923076923075</v>
      </c>
      <c r="AR144" s="13">
        <f t="shared" si="144"/>
        <v>3.0769230769230771E-2</v>
      </c>
      <c r="AS144" s="13">
        <f t="shared" si="145"/>
        <v>0</v>
      </c>
      <c r="AT144" s="13">
        <f t="shared" si="146"/>
        <v>0</v>
      </c>
      <c r="AU144" s="13">
        <f t="shared" si="170"/>
        <v>0</v>
      </c>
      <c r="AV144" s="13">
        <f t="shared" si="171"/>
        <v>0</v>
      </c>
      <c r="AW144" s="13">
        <f t="shared" si="172"/>
        <v>0</v>
      </c>
    </row>
    <row r="145" spans="2:49" x14ac:dyDescent="0.3">
      <c r="B145" s="195">
        <v>8</v>
      </c>
      <c r="C145" s="144">
        <f t="shared" si="173"/>
        <v>4</v>
      </c>
      <c r="D145" s="195">
        <f t="shared" si="174"/>
        <v>8.695652173913043</v>
      </c>
      <c r="E145" s="144">
        <f t="shared" si="147"/>
        <v>4</v>
      </c>
      <c r="F145" s="195">
        <f t="shared" si="174"/>
        <v>4.7619047619047619</v>
      </c>
      <c r="G145" s="144">
        <f t="shared" si="148"/>
        <v>0</v>
      </c>
      <c r="H145" s="195">
        <f t="shared" si="149"/>
        <v>0</v>
      </c>
      <c r="I145" s="144">
        <f t="shared" si="150"/>
        <v>36</v>
      </c>
      <c r="J145" s="195">
        <f t="shared" si="151"/>
        <v>25.174825174825177</v>
      </c>
      <c r="K145" s="144">
        <f t="shared" si="152"/>
        <v>3</v>
      </c>
      <c r="L145" s="195">
        <f t="shared" si="153"/>
        <v>4.6153846153846159</v>
      </c>
      <c r="M145" s="144">
        <f t="shared" si="154"/>
        <v>0</v>
      </c>
      <c r="N145" s="195">
        <f t="shared" si="155"/>
        <v>0</v>
      </c>
      <c r="O145" s="144"/>
      <c r="Q145" s="144">
        <f t="shared" si="156"/>
        <v>0</v>
      </c>
      <c r="R145" s="195">
        <f t="shared" si="157"/>
        <v>0</v>
      </c>
      <c r="T145" s="144">
        <f t="shared" si="158"/>
        <v>8.695652173913043</v>
      </c>
      <c r="U145" s="144">
        <f t="shared" si="159"/>
        <v>4.7619047619047619</v>
      </c>
      <c r="V145" s="144">
        <f t="shared" si="160"/>
        <v>0</v>
      </c>
      <c r="W145" s="144">
        <f t="shared" si="161"/>
        <v>25.174825174825177</v>
      </c>
      <c r="X145" s="144">
        <f t="shared" si="162"/>
        <v>4.6153846153846159</v>
      </c>
      <c r="Y145" s="144">
        <f t="shared" si="163"/>
        <v>0</v>
      </c>
      <c r="Z145" s="144">
        <f t="shared" si="164"/>
        <v>0</v>
      </c>
      <c r="AA145" s="144">
        <f t="shared" si="165"/>
        <v>0</v>
      </c>
      <c r="AC145" s="12">
        <f t="shared" si="166"/>
        <v>8.6956521739130432E-2</v>
      </c>
      <c r="AD145" s="12">
        <f t="shared" si="136"/>
        <v>4.7619047619047616E-2</v>
      </c>
      <c r="AE145" s="12">
        <f t="shared" si="137"/>
        <v>0</v>
      </c>
      <c r="AF145" s="12">
        <f t="shared" si="138"/>
        <v>0.25174825174825177</v>
      </c>
      <c r="AG145" s="12">
        <f t="shared" si="139"/>
        <v>4.6153846153846156E-2</v>
      </c>
      <c r="AH145" s="12">
        <f t="shared" si="140"/>
        <v>0</v>
      </c>
      <c r="AI145" s="12">
        <f t="shared" si="175"/>
        <v>0</v>
      </c>
      <c r="AJ145" s="12"/>
      <c r="AL145" s="13">
        <f t="shared" si="167"/>
        <v>8.6956521739130432E-2</v>
      </c>
      <c r="AM145" s="13">
        <f t="shared" si="168"/>
        <v>8.6956521739130432E-2</v>
      </c>
      <c r="AN145" s="13">
        <f t="shared" si="169"/>
        <v>8.6956521739130432E-2</v>
      </c>
      <c r="AO145" s="13">
        <f t="shared" si="141"/>
        <v>4.7619047619047616E-2</v>
      </c>
      <c r="AP145" s="13">
        <f t="shared" si="142"/>
        <v>0</v>
      </c>
      <c r="AQ145" s="13">
        <f t="shared" si="143"/>
        <v>0.25174825174825177</v>
      </c>
      <c r="AR145" s="13">
        <f t="shared" si="144"/>
        <v>4.6153846153846156E-2</v>
      </c>
      <c r="AS145" s="13">
        <f t="shared" si="145"/>
        <v>0</v>
      </c>
      <c r="AT145" s="13">
        <f t="shared" si="146"/>
        <v>0</v>
      </c>
      <c r="AU145" s="13">
        <f t="shared" si="170"/>
        <v>0</v>
      </c>
      <c r="AV145" s="13">
        <f t="shared" si="171"/>
        <v>0</v>
      </c>
      <c r="AW145" s="13">
        <f t="shared" si="172"/>
        <v>0</v>
      </c>
    </row>
    <row r="146" spans="2:49" x14ac:dyDescent="0.3">
      <c r="B146" s="195">
        <v>7</v>
      </c>
      <c r="C146" s="144">
        <f t="shared" si="173"/>
        <v>5</v>
      </c>
      <c r="D146" s="195">
        <f t="shared" si="174"/>
        <v>10.869565217391305</v>
      </c>
      <c r="E146" s="144">
        <f t="shared" si="147"/>
        <v>5</v>
      </c>
      <c r="F146" s="195">
        <f t="shared" si="174"/>
        <v>5.9523809523809517</v>
      </c>
      <c r="G146" s="144">
        <f t="shared" si="148"/>
        <v>0</v>
      </c>
      <c r="H146" s="195">
        <f t="shared" si="149"/>
        <v>0</v>
      </c>
      <c r="I146" s="144">
        <f t="shared" si="150"/>
        <v>39</v>
      </c>
      <c r="J146" s="195">
        <f t="shared" si="151"/>
        <v>27.27272727272727</v>
      </c>
      <c r="K146" s="144">
        <f t="shared" si="152"/>
        <v>4</v>
      </c>
      <c r="L146" s="195">
        <f t="shared" si="153"/>
        <v>6.1538461538461542</v>
      </c>
      <c r="M146" s="144">
        <f t="shared" si="154"/>
        <v>0</v>
      </c>
      <c r="N146" s="195">
        <f t="shared" si="155"/>
        <v>0</v>
      </c>
      <c r="O146" s="144"/>
      <c r="Q146" s="144">
        <f t="shared" si="156"/>
        <v>0</v>
      </c>
      <c r="R146" s="195">
        <f t="shared" si="157"/>
        <v>0</v>
      </c>
      <c r="T146" s="144">
        <f t="shared" si="158"/>
        <v>10.869565217391305</v>
      </c>
      <c r="U146" s="144">
        <f t="shared" si="159"/>
        <v>5.9523809523809517</v>
      </c>
      <c r="V146" s="144">
        <f t="shared" si="160"/>
        <v>0</v>
      </c>
      <c r="W146" s="144">
        <f t="shared" si="161"/>
        <v>27.27272727272727</v>
      </c>
      <c r="X146" s="144">
        <f t="shared" si="162"/>
        <v>6.1538461538461542</v>
      </c>
      <c r="Y146" s="144">
        <f t="shared" si="163"/>
        <v>0</v>
      </c>
      <c r="Z146" s="144">
        <f t="shared" si="164"/>
        <v>0</v>
      </c>
      <c r="AA146" s="144">
        <f t="shared" si="165"/>
        <v>0</v>
      </c>
      <c r="AC146" s="12">
        <f t="shared" si="166"/>
        <v>0.10869565217391304</v>
      </c>
      <c r="AD146" s="12">
        <f t="shared" si="136"/>
        <v>5.9523809523809514E-2</v>
      </c>
      <c r="AE146" s="12">
        <f t="shared" si="137"/>
        <v>0</v>
      </c>
      <c r="AF146" s="12">
        <f t="shared" si="138"/>
        <v>0.27272727272727271</v>
      </c>
      <c r="AG146" s="12">
        <f t="shared" si="139"/>
        <v>6.1538461538461542E-2</v>
      </c>
      <c r="AH146" s="12">
        <f t="shared" si="140"/>
        <v>0</v>
      </c>
      <c r="AI146" s="12">
        <f t="shared" si="175"/>
        <v>0</v>
      </c>
      <c r="AJ146" s="12"/>
      <c r="AL146" s="13">
        <f t="shared" si="167"/>
        <v>0.10869565217391304</v>
      </c>
      <c r="AM146" s="13">
        <f t="shared" si="168"/>
        <v>0.10869565217391304</v>
      </c>
      <c r="AN146" s="13">
        <f t="shared" si="169"/>
        <v>0.10869565217391304</v>
      </c>
      <c r="AO146" s="13">
        <f t="shared" si="141"/>
        <v>5.9523809523809514E-2</v>
      </c>
      <c r="AP146" s="13">
        <f t="shared" si="142"/>
        <v>0</v>
      </c>
      <c r="AQ146" s="13">
        <f t="shared" si="143"/>
        <v>0.27272727272727271</v>
      </c>
      <c r="AR146" s="13">
        <f t="shared" si="144"/>
        <v>6.1538461538461542E-2</v>
      </c>
      <c r="AS146" s="13">
        <f t="shared" si="145"/>
        <v>0</v>
      </c>
      <c r="AT146" s="13">
        <f t="shared" si="146"/>
        <v>0</v>
      </c>
      <c r="AU146" s="13">
        <f t="shared" si="170"/>
        <v>0</v>
      </c>
      <c r="AV146" s="13">
        <f t="shared" si="171"/>
        <v>0</v>
      </c>
      <c r="AW146" s="13">
        <f t="shared" si="172"/>
        <v>0</v>
      </c>
    </row>
    <row r="147" spans="2:49" x14ac:dyDescent="0.3">
      <c r="B147" s="195">
        <v>6</v>
      </c>
      <c r="C147" s="144">
        <f t="shared" si="173"/>
        <v>6</v>
      </c>
      <c r="D147" s="195">
        <f t="shared" si="174"/>
        <v>13.043478260869565</v>
      </c>
      <c r="E147" s="144">
        <f t="shared" si="147"/>
        <v>6</v>
      </c>
      <c r="F147" s="195">
        <f t="shared" si="174"/>
        <v>7.1428571428571423</v>
      </c>
      <c r="G147" s="144">
        <f t="shared" si="148"/>
        <v>0</v>
      </c>
      <c r="H147" s="195">
        <f t="shared" si="149"/>
        <v>0</v>
      </c>
      <c r="I147" s="144">
        <f t="shared" si="150"/>
        <v>42</v>
      </c>
      <c r="J147" s="195">
        <f t="shared" si="151"/>
        <v>29.37062937062937</v>
      </c>
      <c r="K147" s="144">
        <f t="shared" si="152"/>
        <v>5</v>
      </c>
      <c r="L147" s="195">
        <f t="shared" si="153"/>
        <v>7.6923076923076925</v>
      </c>
      <c r="M147" s="144">
        <f t="shared" si="154"/>
        <v>1</v>
      </c>
      <c r="N147" s="195">
        <f t="shared" si="155"/>
        <v>2.1739130434782608</v>
      </c>
      <c r="O147" s="144"/>
      <c r="Q147" s="144">
        <f t="shared" si="156"/>
        <v>0</v>
      </c>
      <c r="R147" s="195">
        <f t="shared" si="157"/>
        <v>0</v>
      </c>
      <c r="T147" s="144">
        <f t="shared" si="158"/>
        <v>13.043478260869565</v>
      </c>
      <c r="U147" s="144">
        <f t="shared" si="159"/>
        <v>7.1428571428571423</v>
      </c>
      <c r="V147" s="144">
        <f t="shared" si="160"/>
        <v>0</v>
      </c>
      <c r="W147" s="144">
        <f t="shared" si="161"/>
        <v>29.37062937062937</v>
      </c>
      <c r="X147" s="144">
        <f t="shared" si="162"/>
        <v>7.6923076923076925</v>
      </c>
      <c r="Y147" s="144">
        <f t="shared" si="163"/>
        <v>2.1739130434782608</v>
      </c>
      <c r="Z147" s="144">
        <f t="shared" si="164"/>
        <v>0</v>
      </c>
      <c r="AA147" s="144">
        <f t="shared" si="165"/>
        <v>0</v>
      </c>
      <c r="AC147" s="12">
        <f t="shared" si="166"/>
        <v>0.13043478260869565</v>
      </c>
      <c r="AD147" s="12">
        <f t="shared" si="136"/>
        <v>7.1428571428571425E-2</v>
      </c>
      <c r="AE147" s="12">
        <f t="shared" si="137"/>
        <v>0</v>
      </c>
      <c r="AF147" s="12">
        <f t="shared" si="138"/>
        <v>0.2937062937062937</v>
      </c>
      <c r="AG147" s="12">
        <f t="shared" si="139"/>
        <v>7.6923076923076927E-2</v>
      </c>
      <c r="AH147" s="12">
        <f t="shared" si="140"/>
        <v>2.1739130434782608E-2</v>
      </c>
      <c r="AI147" s="12">
        <f t="shared" si="175"/>
        <v>0</v>
      </c>
      <c r="AJ147" s="12"/>
      <c r="AL147" s="13">
        <f t="shared" si="167"/>
        <v>0.13043478260869565</v>
      </c>
      <c r="AM147" s="13">
        <f t="shared" si="168"/>
        <v>0.13043478260869565</v>
      </c>
      <c r="AN147" s="13">
        <f t="shared" si="169"/>
        <v>0.13043478260869565</v>
      </c>
      <c r="AO147" s="13">
        <f t="shared" si="141"/>
        <v>7.1428571428571425E-2</v>
      </c>
      <c r="AP147" s="13">
        <f t="shared" si="142"/>
        <v>0</v>
      </c>
      <c r="AQ147" s="13">
        <f t="shared" si="143"/>
        <v>0.2937062937062937</v>
      </c>
      <c r="AR147" s="13">
        <f t="shared" si="144"/>
        <v>7.6923076923076927E-2</v>
      </c>
      <c r="AS147" s="13">
        <f t="shared" si="145"/>
        <v>2.1739130434782608E-2</v>
      </c>
      <c r="AT147" s="13">
        <f t="shared" si="146"/>
        <v>0</v>
      </c>
      <c r="AU147" s="13">
        <f t="shared" si="170"/>
        <v>0</v>
      </c>
      <c r="AV147" s="13">
        <f t="shared" si="171"/>
        <v>0</v>
      </c>
      <c r="AW147" s="13">
        <f t="shared" si="172"/>
        <v>0</v>
      </c>
    </row>
    <row r="148" spans="2:49" x14ac:dyDescent="0.3">
      <c r="B148" s="195">
        <v>5</v>
      </c>
      <c r="C148" s="144">
        <f t="shared" si="173"/>
        <v>7</v>
      </c>
      <c r="D148" s="195">
        <f t="shared" si="174"/>
        <v>15.217391304347828</v>
      </c>
      <c r="E148" s="144">
        <f t="shared" si="147"/>
        <v>12</v>
      </c>
      <c r="F148" s="195">
        <f t="shared" si="174"/>
        <v>14.285714285714285</v>
      </c>
      <c r="G148" s="144">
        <f t="shared" si="148"/>
        <v>5</v>
      </c>
      <c r="H148" s="195">
        <f t="shared" si="149"/>
        <v>8.4745762711864394</v>
      </c>
      <c r="I148" s="144">
        <f t="shared" si="150"/>
        <v>45</v>
      </c>
      <c r="J148" s="195">
        <f t="shared" si="151"/>
        <v>31.46853146853147</v>
      </c>
      <c r="K148" s="144">
        <f t="shared" si="152"/>
        <v>6</v>
      </c>
      <c r="L148" s="195">
        <f t="shared" si="153"/>
        <v>9.2307692307692317</v>
      </c>
      <c r="M148" s="144">
        <f t="shared" si="154"/>
        <v>3</v>
      </c>
      <c r="N148" s="195">
        <f t="shared" si="155"/>
        <v>6.5217391304347823</v>
      </c>
      <c r="O148" s="144"/>
      <c r="Q148" s="144">
        <f t="shared" si="156"/>
        <v>0</v>
      </c>
      <c r="R148" s="195">
        <f t="shared" si="157"/>
        <v>0</v>
      </c>
      <c r="T148" s="144">
        <f t="shared" si="158"/>
        <v>15.217391304347828</v>
      </c>
      <c r="U148" s="144">
        <f t="shared" si="159"/>
        <v>14.285714285714285</v>
      </c>
      <c r="V148" s="144">
        <f t="shared" si="160"/>
        <v>8.4745762711864394</v>
      </c>
      <c r="W148" s="144">
        <f t="shared" si="161"/>
        <v>31.46853146853147</v>
      </c>
      <c r="X148" s="144">
        <f t="shared" si="162"/>
        <v>9.2307692307692317</v>
      </c>
      <c r="Y148" s="144">
        <f t="shared" si="163"/>
        <v>6.5217391304347823</v>
      </c>
      <c r="Z148" s="144">
        <f t="shared" si="164"/>
        <v>0</v>
      </c>
      <c r="AA148" s="144">
        <f t="shared" si="165"/>
        <v>0</v>
      </c>
      <c r="AC148" s="12">
        <f t="shared" si="166"/>
        <v>0.15217391304347827</v>
      </c>
      <c r="AD148" s="12">
        <f t="shared" si="136"/>
        <v>0.14285714285714285</v>
      </c>
      <c r="AE148" s="12">
        <f t="shared" si="137"/>
        <v>8.4745762711864389E-2</v>
      </c>
      <c r="AF148" s="12">
        <f t="shared" si="138"/>
        <v>0.31468531468531469</v>
      </c>
      <c r="AG148" s="12">
        <f t="shared" si="139"/>
        <v>9.2307692307692313E-2</v>
      </c>
      <c r="AH148" s="12">
        <f t="shared" si="140"/>
        <v>6.5217391304347824E-2</v>
      </c>
      <c r="AI148" s="12">
        <f t="shared" si="175"/>
        <v>0</v>
      </c>
      <c r="AJ148" s="12"/>
      <c r="AL148" s="13">
        <f t="shared" si="167"/>
        <v>0.15217391304347827</v>
      </c>
      <c r="AM148" s="13">
        <f t="shared" si="168"/>
        <v>0.15217391304347827</v>
      </c>
      <c r="AN148" s="13">
        <f t="shared" si="169"/>
        <v>0.15217391304347827</v>
      </c>
      <c r="AO148" s="13">
        <f t="shared" si="141"/>
        <v>0.14285714285714285</v>
      </c>
      <c r="AP148" s="13">
        <f t="shared" si="142"/>
        <v>8.4745762711864389E-2</v>
      </c>
      <c r="AQ148" s="13">
        <f t="shared" si="143"/>
        <v>0.31468531468531469</v>
      </c>
      <c r="AR148" s="13">
        <f t="shared" si="144"/>
        <v>9.2307692307692313E-2</v>
      </c>
      <c r="AS148" s="13">
        <f t="shared" si="145"/>
        <v>6.5217391304347824E-2</v>
      </c>
      <c r="AT148" s="13">
        <f t="shared" si="146"/>
        <v>0</v>
      </c>
      <c r="AU148" s="13">
        <f t="shared" si="170"/>
        <v>0</v>
      </c>
      <c r="AV148" s="13">
        <f t="shared" si="171"/>
        <v>0</v>
      </c>
      <c r="AW148" s="13">
        <f t="shared" si="172"/>
        <v>0</v>
      </c>
    </row>
    <row r="149" spans="2:49" x14ac:dyDescent="0.3">
      <c r="B149" s="195">
        <v>4</v>
      </c>
      <c r="C149" s="144">
        <f t="shared" si="173"/>
        <v>8</v>
      </c>
      <c r="D149" s="195">
        <f t="shared" si="174"/>
        <v>17.391304347826086</v>
      </c>
      <c r="E149" s="144">
        <f t="shared" si="147"/>
        <v>19</v>
      </c>
      <c r="F149" s="195">
        <f t="shared" si="174"/>
        <v>22.61904761904762</v>
      </c>
      <c r="G149" s="144">
        <f t="shared" si="148"/>
        <v>11</v>
      </c>
      <c r="H149" s="195">
        <f t="shared" si="149"/>
        <v>18.64406779661017</v>
      </c>
      <c r="I149" s="144">
        <f t="shared" si="150"/>
        <v>48</v>
      </c>
      <c r="J149" s="195">
        <f t="shared" si="151"/>
        <v>33.566433566433567</v>
      </c>
      <c r="K149" s="144">
        <f t="shared" si="152"/>
        <v>7</v>
      </c>
      <c r="L149" s="195">
        <f t="shared" si="153"/>
        <v>10.76923076923077</v>
      </c>
      <c r="M149" s="144">
        <f t="shared" si="154"/>
        <v>5</v>
      </c>
      <c r="N149" s="195">
        <f t="shared" si="155"/>
        <v>10.869565217391305</v>
      </c>
      <c r="O149" s="144"/>
      <c r="Q149" s="144">
        <f t="shared" si="156"/>
        <v>1</v>
      </c>
      <c r="R149" s="195">
        <f t="shared" si="157"/>
        <v>1.4705882352941175</v>
      </c>
      <c r="T149" s="144">
        <f t="shared" si="158"/>
        <v>17.391304347826086</v>
      </c>
      <c r="U149" s="144">
        <f t="shared" si="159"/>
        <v>22.61904761904762</v>
      </c>
      <c r="V149" s="144">
        <f t="shared" si="160"/>
        <v>18.64406779661017</v>
      </c>
      <c r="W149" s="144">
        <f t="shared" si="161"/>
        <v>33.566433566433567</v>
      </c>
      <c r="X149" s="144">
        <f t="shared" si="162"/>
        <v>10.76923076923077</v>
      </c>
      <c r="Y149" s="144">
        <f t="shared" si="163"/>
        <v>10.869565217391305</v>
      </c>
      <c r="Z149" s="144">
        <f t="shared" si="164"/>
        <v>0</v>
      </c>
      <c r="AA149" s="144">
        <f t="shared" si="165"/>
        <v>1.4705882352941175</v>
      </c>
      <c r="AC149" s="12">
        <f t="shared" si="166"/>
        <v>0.17391304347826086</v>
      </c>
      <c r="AD149" s="12">
        <f t="shared" si="136"/>
        <v>0.22619047619047619</v>
      </c>
      <c r="AE149" s="12">
        <f t="shared" si="137"/>
        <v>0.1864406779661017</v>
      </c>
      <c r="AF149" s="12">
        <f t="shared" si="138"/>
        <v>0.33566433566433568</v>
      </c>
      <c r="AG149" s="12">
        <f t="shared" si="139"/>
        <v>0.1076923076923077</v>
      </c>
      <c r="AH149" s="12">
        <f t="shared" si="140"/>
        <v>0.10869565217391304</v>
      </c>
      <c r="AI149" s="12">
        <f t="shared" si="175"/>
        <v>1.4705882352941175E-2</v>
      </c>
      <c r="AJ149" s="12"/>
      <c r="AL149" s="13">
        <f t="shared" si="167"/>
        <v>0.17391304347826086</v>
      </c>
      <c r="AM149" s="13">
        <f t="shared" si="168"/>
        <v>0.17391304347826086</v>
      </c>
      <c r="AN149" s="13">
        <f t="shared" si="169"/>
        <v>0.17391304347826086</v>
      </c>
      <c r="AO149" s="13">
        <f t="shared" si="141"/>
        <v>0.22619047619047619</v>
      </c>
      <c r="AP149" s="13">
        <f t="shared" si="142"/>
        <v>0.1864406779661017</v>
      </c>
      <c r="AQ149" s="13">
        <f t="shared" si="143"/>
        <v>0.33566433566433568</v>
      </c>
      <c r="AR149" s="13">
        <f t="shared" si="144"/>
        <v>0.1076923076923077</v>
      </c>
      <c r="AS149" s="13">
        <f t="shared" si="145"/>
        <v>0.10869565217391304</v>
      </c>
      <c r="AT149" s="13">
        <f t="shared" si="146"/>
        <v>1.4705882352941175E-2</v>
      </c>
      <c r="AU149" s="13">
        <f t="shared" si="170"/>
        <v>1.4705882352941175E-2</v>
      </c>
      <c r="AV149" s="13">
        <f t="shared" si="171"/>
        <v>1.4705882352941175E-2</v>
      </c>
      <c r="AW149" s="13">
        <f t="shared" si="172"/>
        <v>1.4705882352941175E-2</v>
      </c>
    </row>
    <row r="150" spans="2:49" x14ac:dyDescent="0.3">
      <c r="B150" s="195">
        <v>3</v>
      </c>
      <c r="C150" s="144">
        <f t="shared" si="173"/>
        <v>9</v>
      </c>
      <c r="D150" s="195">
        <f t="shared" si="174"/>
        <v>19.565217391304348</v>
      </c>
      <c r="E150" s="144">
        <f t="shared" si="147"/>
        <v>26</v>
      </c>
      <c r="F150" s="195">
        <f t="shared" si="174"/>
        <v>30.952380952380953</v>
      </c>
      <c r="G150" s="144">
        <f t="shared" si="148"/>
        <v>17</v>
      </c>
      <c r="H150" s="195">
        <f t="shared" si="149"/>
        <v>28.8135593220339</v>
      </c>
      <c r="I150" s="144">
        <f t="shared" si="150"/>
        <v>51</v>
      </c>
      <c r="J150" s="195">
        <f t="shared" si="151"/>
        <v>35.664335664335667</v>
      </c>
      <c r="K150" s="144">
        <f t="shared" si="152"/>
        <v>8</v>
      </c>
      <c r="L150" s="195">
        <f t="shared" si="153"/>
        <v>12.307692307692308</v>
      </c>
      <c r="M150" s="144">
        <f t="shared" si="154"/>
        <v>7</v>
      </c>
      <c r="N150" s="195">
        <f t="shared" si="155"/>
        <v>15.217391304347828</v>
      </c>
      <c r="O150" s="144"/>
      <c r="Q150" s="144">
        <f t="shared" si="156"/>
        <v>2</v>
      </c>
      <c r="R150" s="195">
        <f t="shared" si="157"/>
        <v>2.9411764705882351</v>
      </c>
      <c r="T150" s="144">
        <f t="shared" si="158"/>
        <v>19.565217391304348</v>
      </c>
      <c r="U150" s="144">
        <f t="shared" si="159"/>
        <v>30.952380952380953</v>
      </c>
      <c r="V150" s="144">
        <f t="shared" si="160"/>
        <v>28.8135593220339</v>
      </c>
      <c r="W150" s="144">
        <f t="shared" si="161"/>
        <v>35.664335664335667</v>
      </c>
      <c r="X150" s="144">
        <f t="shared" si="162"/>
        <v>12.307692307692308</v>
      </c>
      <c r="Y150" s="144">
        <f t="shared" si="163"/>
        <v>15.217391304347828</v>
      </c>
      <c r="Z150" s="144">
        <f t="shared" si="164"/>
        <v>0</v>
      </c>
      <c r="AA150" s="144">
        <f t="shared" si="165"/>
        <v>2.9411764705882351</v>
      </c>
      <c r="AC150" s="12">
        <f t="shared" si="166"/>
        <v>0.19565217391304349</v>
      </c>
      <c r="AD150" s="12">
        <f t="shared" si="136"/>
        <v>0.30952380952380953</v>
      </c>
      <c r="AE150" s="12">
        <f t="shared" si="137"/>
        <v>0.28813559322033899</v>
      </c>
      <c r="AF150" s="12">
        <f t="shared" si="138"/>
        <v>0.35664335664335667</v>
      </c>
      <c r="AG150" s="12">
        <f t="shared" si="139"/>
        <v>0.12307692307692308</v>
      </c>
      <c r="AH150" s="12">
        <f t="shared" si="140"/>
        <v>0.15217391304347827</v>
      </c>
      <c r="AI150" s="12">
        <f t="shared" si="175"/>
        <v>2.9411764705882349E-2</v>
      </c>
      <c r="AJ150" s="12"/>
      <c r="AL150" s="13">
        <f t="shared" si="167"/>
        <v>0.19565217391304349</v>
      </c>
      <c r="AM150" s="13">
        <f t="shared" si="168"/>
        <v>0.19565217391304349</v>
      </c>
      <c r="AN150" s="13">
        <f t="shared" si="169"/>
        <v>0.19565217391304349</v>
      </c>
      <c r="AO150" s="13">
        <f t="shared" si="141"/>
        <v>0.30952380952380953</v>
      </c>
      <c r="AP150" s="13">
        <f t="shared" si="142"/>
        <v>0.28813559322033899</v>
      </c>
      <c r="AQ150" s="13">
        <f t="shared" si="143"/>
        <v>0.35664335664335667</v>
      </c>
      <c r="AR150" s="13">
        <f t="shared" si="144"/>
        <v>0.12307692307692308</v>
      </c>
      <c r="AS150" s="13">
        <f t="shared" si="145"/>
        <v>0.15217391304347827</v>
      </c>
      <c r="AT150" s="13">
        <f t="shared" si="146"/>
        <v>2.9411764705882349E-2</v>
      </c>
      <c r="AU150" s="13">
        <f t="shared" si="170"/>
        <v>2.9411764705882349E-2</v>
      </c>
      <c r="AV150" s="13">
        <f t="shared" si="171"/>
        <v>2.9411764705882349E-2</v>
      </c>
      <c r="AW150" s="13">
        <f t="shared" si="172"/>
        <v>2.9411764705882349E-2</v>
      </c>
    </row>
    <row r="151" spans="2:49" x14ac:dyDescent="0.3">
      <c r="B151" s="195">
        <v>2</v>
      </c>
      <c r="C151" s="144">
        <f t="shared" si="173"/>
        <v>14</v>
      </c>
      <c r="D151" s="195">
        <f t="shared" si="174"/>
        <v>30.434782608695656</v>
      </c>
      <c r="E151" s="144">
        <f t="shared" si="147"/>
        <v>34</v>
      </c>
      <c r="F151" s="195">
        <f t="shared" si="174"/>
        <v>40.476190476190474</v>
      </c>
      <c r="G151" s="144">
        <f t="shared" si="148"/>
        <v>23</v>
      </c>
      <c r="H151" s="195">
        <f t="shared" si="149"/>
        <v>38.983050847457626</v>
      </c>
      <c r="I151" s="144">
        <f t="shared" si="150"/>
        <v>55</v>
      </c>
      <c r="J151" s="195">
        <f t="shared" si="151"/>
        <v>38.461538461538467</v>
      </c>
      <c r="K151" s="144">
        <f t="shared" si="152"/>
        <v>10</v>
      </c>
      <c r="L151" s="195">
        <f t="shared" si="153"/>
        <v>15.384615384615385</v>
      </c>
      <c r="M151" s="144">
        <f t="shared" si="154"/>
        <v>9</v>
      </c>
      <c r="N151" s="195">
        <f t="shared" si="155"/>
        <v>19.565217391304348</v>
      </c>
      <c r="O151" s="144"/>
      <c r="Q151" s="144">
        <f t="shared" si="156"/>
        <v>9</v>
      </c>
      <c r="R151" s="195">
        <f t="shared" si="157"/>
        <v>13.23529411764706</v>
      </c>
      <c r="T151" s="144">
        <f t="shared" si="158"/>
        <v>30.434782608695656</v>
      </c>
      <c r="U151" s="144">
        <f t="shared" si="159"/>
        <v>40.476190476190474</v>
      </c>
      <c r="V151" s="144">
        <f t="shared" si="160"/>
        <v>38.983050847457626</v>
      </c>
      <c r="W151" s="144">
        <f t="shared" si="161"/>
        <v>38.461538461538467</v>
      </c>
      <c r="X151" s="144">
        <f t="shared" si="162"/>
        <v>15.384615384615385</v>
      </c>
      <c r="Y151" s="144">
        <f t="shared" si="163"/>
        <v>19.565217391304348</v>
      </c>
      <c r="Z151" s="144">
        <f t="shared" si="164"/>
        <v>0</v>
      </c>
      <c r="AA151" s="144">
        <f t="shared" si="165"/>
        <v>13.23529411764706</v>
      </c>
      <c r="AC151" s="12">
        <f t="shared" si="166"/>
        <v>0.30434782608695654</v>
      </c>
      <c r="AD151" s="12">
        <f t="shared" si="136"/>
        <v>0.40476190476190477</v>
      </c>
      <c r="AE151" s="12">
        <f t="shared" si="137"/>
        <v>0.38983050847457629</v>
      </c>
      <c r="AF151" s="12">
        <f t="shared" si="138"/>
        <v>0.38461538461538469</v>
      </c>
      <c r="AG151" s="12">
        <f t="shared" si="139"/>
        <v>0.15384615384615385</v>
      </c>
      <c r="AH151" s="12">
        <f t="shared" si="140"/>
        <v>0.19565217391304349</v>
      </c>
      <c r="AI151" s="12">
        <f t="shared" si="175"/>
        <v>0.13235294117647059</v>
      </c>
      <c r="AJ151" s="12"/>
      <c r="AL151" s="13">
        <f t="shared" si="167"/>
        <v>0.30434782608695654</v>
      </c>
      <c r="AM151" s="13">
        <f t="shared" si="168"/>
        <v>0.30434782608695654</v>
      </c>
      <c r="AN151" s="13">
        <f t="shared" si="169"/>
        <v>0.30434782608695654</v>
      </c>
      <c r="AO151" s="13">
        <f t="shared" si="141"/>
        <v>0.40476190476190477</v>
      </c>
      <c r="AP151" s="13">
        <f t="shared" si="142"/>
        <v>0.38983050847457629</v>
      </c>
      <c r="AQ151" s="13">
        <f t="shared" si="143"/>
        <v>0.38461538461538469</v>
      </c>
      <c r="AR151" s="13">
        <f t="shared" si="144"/>
        <v>0.15384615384615385</v>
      </c>
      <c r="AS151" s="13">
        <f t="shared" si="145"/>
        <v>0.19565217391304349</v>
      </c>
      <c r="AT151" s="13">
        <f t="shared" si="146"/>
        <v>0.13235294117647059</v>
      </c>
      <c r="AU151" s="13">
        <f t="shared" si="170"/>
        <v>0.13235294117647059</v>
      </c>
      <c r="AV151" s="13">
        <f t="shared" si="171"/>
        <v>0.13235294117647059</v>
      </c>
      <c r="AW151" s="13">
        <f t="shared" si="172"/>
        <v>0.13235294117647059</v>
      </c>
    </row>
    <row r="152" spans="2:49" x14ac:dyDescent="0.3">
      <c r="B152" s="195">
        <v>1</v>
      </c>
      <c r="C152" s="144">
        <f t="shared" si="173"/>
        <v>24</v>
      </c>
      <c r="D152" s="195">
        <f t="shared" si="174"/>
        <v>52.173913043478258</v>
      </c>
      <c r="E152" s="144">
        <f t="shared" si="147"/>
        <v>44</v>
      </c>
      <c r="F152" s="195">
        <f t="shared" si="174"/>
        <v>52.380952380952387</v>
      </c>
      <c r="G152" s="144">
        <f t="shared" si="148"/>
        <v>29</v>
      </c>
      <c r="H152" s="195">
        <f t="shared" si="149"/>
        <v>49.152542372881356</v>
      </c>
      <c r="I152" s="144">
        <f t="shared" si="150"/>
        <v>69</v>
      </c>
      <c r="J152" s="195">
        <f t="shared" si="151"/>
        <v>48.251748251748253</v>
      </c>
      <c r="K152" s="144">
        <f t="shared" si="152"/>
        <v>19</v>
      </c>
      <c r="L152" s="195">
        <f t="shared" si="153"/>
        <v>29.230769230769234</v>
      </c>
      <c r="M152" s="144">
        <f t="shared" si="154"/>
        <v>14</v>
      </c>
      <c r="N152" s="195">
        <f t="shared" si="155"/>
        <v>30.434782608695656</v>
      </c>
      <c r="O152" s="144"/>
      <c r="Q152" s="144">
        <f t="shared" si="156"/>
        <v>17</v>
      </c>
      <c r="R152" s="195">
        <f t="shared" si="157"/>
        <v>25</v>
      </c>
      <c r="T152" s="144">
        <f t="shared" si="158"/>
        <v>52.173913043478258</v>
      </c>
      <c r="U152" s="144">
        <f t="shared" si="159"/>
        <v>52.380952380952387</v>
      </c>
      <c r="V152" s="144">
        <f t="shared" si="160"/>
        <v>49.152542372881356</v>
      </c>
      <c r="W152" s="144">
        <f t="shared" si="161"/>
        <v>48.251748251748253</v>
      </c>
      <c r="X152" s="144">
        <f t="shared" si="162"/>
        <v>29.230769230769234</v>
      </c>
      <c r="Y152" s="144">
        <f t="shared" si="163"/>
        <v>30.434782608695656</v>
      </c>
      <c r="Z152" s="144">
        <f t="shared" si="164"/>
        <v>0</v>
      </c>
      <c r="AA152" s="144">
        <f t="shared" si="165"/>
        <v>25</v>
      </c>
      <c r="AC152" s="12">
        <f t="shared" si="166"/>
        <v>0.52173913043478259</v>
      </c>
      <c r="AD152" s="12">
        <f t="shared" si="136"/>
        <v>0.52380952380952384</v>
      </c>
      <c r="AE152" s="12">
        <f t="shared" si="137"/>
        <v>0.49152542372881358</v>
      </c>
      <c r="AF152" s="12">
        <f t="shared" si="138"/>
        <v>0.48251748251748255</v>
      </c>
      <c r="AG152" s="12">
        <f t="shared" si="139"/>
        <v>0.29230769230769232</v>
      </c>
      <c r="AH152" s="12">
        <f t="shared" si="140"/>
        <v>0.30434782608695654</v>
      </c>
      <c r="AI152" s="12">
        <f t="shared" si="175"/>
        <v>0.25</v>
      </c>
      <c r="AJ152" s="12"/>
      <c r="AL152" s="13">
        <f t="shared" si="167"/>
        <v>0.52173913043478259</v>
      </c>
      <c r="AM152" s="13">
        <f t="shared" si="168"/>
        <v>0.52173913043478259</v>
      </c>
      <c r="AN152" s="13">
        <f t="shared" si="169"/>
        <v>0.52173913043478259</v>
      </c>
      <c r="AO152" s="13">
        <f t="shared" si="141"/>
        <v>0.52380952380952384</v>
      </c>
      <c r="AP152" s="13">
        <f t="shared" si="142"/>
        <v>0.49152542372881358</v>
      </c>
      <c r="AQ152" s="13">
        <f t="shared" si="143"/>
        <v>0.48251748251748255</v>
      </c>
      <c r="AR152" s="13">
        <f t="shared" si="144"/>
        <v>0.29230769230769232</v>
      </c>
      <c r="AS152" s="13">
        <f t="shared" si="145"/>
        <v>0.30434782608695654</v>
      </c>
      <c r="AT152" s="13">
        <f t="shared" si="146"/>
        <v>0.25</v>
      </c>
      <c r="AU152" s="13">
        <f t="shared" si="170"/>
        <v>0.25</v>
      </c>
      <c r="AV152" s="13">
        <f t="shared" si="171"/>
        <v>0.25</v>
      </c>
      <c r="AW152" s="13">
        <f t="shared" si="172"/>
        <v>0.25</v>
      </c>
    </row>
    <row r="154" spans="2:49" x14ac:dyDescent="0.3">
      <c r="AC154" s="195" t="s">
        <v>129</v>
      </c>
    </row>
    <row r="155" spans="2:49" x14ac:dyDescent="0.3">
      <c r="AC155" s="195" t="s">
        <v>131</v>
      </c>
    </row>
  </sheetData>
  <conditionalFormatting sqref="AC82:AJ101">
    <cfRule type="colorScale" priority="7">
      <colorScale>
        <cfvo type="min"/>
        <cfvo type="max"/>
        <color rgb="FFFFEF9C"/>
        <color rgb="FFFF7128"/>
      </colorScale>
    </cfRule>
  </conditionalFormatting>
  <conditionalFormatting sqref="AC31:AJ50">
    <cfRule type="colorScale" priority="6">
      <colorScale>
        <cfvo type="min"/>
        <cfvo type="max"/>
        <color rgb="FFFFEF9C"/>
        <color rgb="FFFF7128"/>
      </colorScale>
    </cfRule>
  </conditionalFormatting>
  <conditionalFormatting sqref="AC133:AJ152">
    <cfRule type="colorScale" priority="5">
      <colorScale>
        <cfvo type="min"/>
        <cfvo type="max"/>
        <color rgb="FFFFEF9C"/>
        <color rgb="FFFF7128"/>
      </colorScale>
    </cfRule>
  </conditionalFormatting>
  <conditionalFormatting sqref="AL31:AW50">
    <cfRule type="colorScale" priority="4">
      <colorScale>
        <cfvo type="min"/>
        <cfvo type="max"/>
        <color rgb="FFFFEF9C"/>
        <color rgb="FFFF7128"/>
      </colorScale>
    </cfRule>
  </conditionalFormatting>
  <conditionalFormatting sqref="AL82:AW101">
    <cfRule type="colorScale" priority="3">
      <colorScale>
        <cfvo type="min"/>
        <cfvo type="max"/>
        <color rgb="FFFFEF9C"/>
        <color rgb="FFFF7128"/>
      </colorScale>
    </cfRule>
  </conditionalFormatting>
  <conditionalFormatting sqref="AL133:AW152">
    <cfRule type="colorScale" priority="1">
      <colorScale>
        <cfvo type="min"/>
        <cfvo type="max"/>
        <color rgb="FFFFEF9C"/>
        <color rgb="FFFF7128"/>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
  <sheetViews>
    <sheetView workbookViewId="0">
      <selection activeCell="C13" sqref="C13"/>
    </sheetView>
  </sheetViews>
  <sheetFormatPr defaultRowHeight="14.4" x14ac:dyDescent="0.3"/>
  <cols>
    <col min="1" max="1" width="21.6640625" bestFit="1" customWidth="1"/>
    <col min="2" max="9" width="5.44140625" bestFit="1" customWidth="1"/>
    <col min="10" max="13" width="6" bestFit="1" customWidth="1"/>
    <col min="14" max="21" width="5.44140625" bestFit="1" customWidth="1"/>
    <col min="22" max="23" width="6" bestFit="1" customWidth="1"/>
    <col min="24" max="25" width="5.44140625" bestFit="1" customWidth="1"/>
  </cols>
  <sheetData>
    <row r="1" spans="1:25" x14ac:dyDescent="0.3">
      <c r="A1" t="s">
        <v>48</v>
      </c>
      <c r="B1" s="615" t="s">
        <v>18</v>
      </c>
      <c r="C1" s="616"/>
      <c r="D1" s="616"/>
      <c r="E1" s="616"/>
      <c r="F1" s="616"/>
      <c r="G1" s="616"/>
      <c r="H1" s="617"/>
      <c r="I1" s="617"/>
      <c r="J1" s="617"/>
      <c r="K1" s="617"/>
      <c r="L1" s="617"/>
      <c r="M1" s="618"/>
      <c r="N1" s="615" t="s">
        <v>35</v>
      </c>
      <c r="O1" s="616"/>
      <c r="P1" s="616"/>
      <c r="Q1" s="616"/>
      <c r="R1" s="616"/>
      <c r="S1" s="616"/>
      <c r="T1" s="617"/>
      <c r="U1" s="617"/>
      <c r="V1" s="617"/>
      <c r="W1" s="617"/>
      <c r="X1" s="617"/>
      <c r="Y1" s="618"/>
    </row>
    <row r="2" spans="1:25" ht="15" thickBot="1" x14ac:dyDescent="0.35">
      <c r="A2" s="53" t="s">
        <v>36</v>
      </c>
      <c r="B2" s="54">
        <v>1</v>
      </c>
      <c r="C2" s="54">
        <v>2</v>
      </c>
      <c r="D2" s="54">
        <v>3</v>
      </c>
      <c r="E2" s="54">
        <v>4</v>
      </c>
      <c r="F2" s="54">
        <v>5</v>
      </c>
      <c r="G2" s="54">
        <v>6</v>
      </c>
      <c r="H2" s="54">
        <v>7</v>
      </c>
      <c r="I2" s="54">
        <v>8</v>
      </c>
      <c r="J2" s="115">
        <v>9</v>
      </c>
      <c r="K2" s="115">
        <v>10</v>
      </c>
      <c r="L2" s="115">
        <v>11</v>
      </c>
      <c r="M2" s="115">
        <v>12</v>
      </c>
      <c r="N2" s="54">
        <v>1</v>
      </c>
      <c r="O2" s="54">
        <v>2</v>
      </c>
      <c r="P2" s="54">
        <v>3</v>
      </c>
      <c r="Q2" s="54">
        <v>4</v>
      </c>
      <c r="R2" s="54">
        <v>5</v>
      </c>
      <c r="S2" s="54">
        <v>6</v>
      </c>
      <c r="T2" s="54">
        <v>7</v>
      </c>
      <c r="U2" s="54">
        <v>8</v>
      </c>
      <c r="V2" s="54">
        <v>9</v>
      </c>
      <c r="W2" s="54">
        <v>10</v>
      </c>
      <c r="X2" s="54">
        <v>11</v>
      </c>
      <c r="Y2" s="54">
        <v>12</v>
      </c>
    </row>
    <row r="3" spans="1:25" ht="15" thickBot="1" x14ac:dyDescent="0.35">
      <c r="A3" s="55" t="s">
        <v>14</v>
      </c>
      <c r="B3" s="56">
        <v>0.60943455170259297</v>
      </c>
      <c r="C3" s="56">
        <v>0.60943455170259297</v>
      </c>
      <c r="D3" s="56">
        <v>0.60943455170259297</v>
      </c>
      <c r="E3" s="56">
        <v>0.60943455170259297</v>
      </c>
      <c r="F3" s="56">
        <v>0.82222459842220319</v>
      </c>
      <c r="G3" s="56">
        <v>0.82222459842220319</v>
      </c>
      <c r="H3" s="56">
        <v>0.94241829507637176</v>
      </c>
      <c r="I3" s="113">
        <v>0.94241829507637176</v>
      </c>
      <c r="J3" s="121">
        <v>1</v>
      </c>
      <c r="K3" s="122">
        <v>1</v>
      </c>
      <c r="L3" s="123">
        <v>1</v>
      </c>
      <c r="M3" s="124">
        <v>1</v>
      </c>
      <c r="N3" s="114">
        <v>0.38502295007650034</v>
      </c>
      <c r="O3" s="56">
        <v>0.38502295007650034</v>
      </c>
      <c r="P3" s="56">
        <v>0.38502295007650034</v>
      </c>
      <c r="Q3" s="56">
        <v>0.38502295007650034</v>
      </c>
      <c r="R3" s="56">
        <v>0.97102449120386336</v>
      </c>
      <c r="S3" s="56">
        <v>0.97102449120386336</v>
      </c>
      <c r="T3" s="56">
        <v>1.0011397310234784</v>
      </c>
      <c r="U3" s="56">
        <v>1.0011397310234784</v>
      </c>
      <c r="V3" s="120">
        <v>1</v>
      </c>
      <c r="W3" s="120">
        <v>1</v>
      </c>
      <c r="X3" s="57">
        <v>1</v>
      </c>
      <c r="Y3" s="57">
        <v>1</v>
      </c>
    </row>
    <row r="4" spans="1:25" ht="15" thickBot="1" x14ac:dyDescent="0.35">
      <c r="A4" s="20" t="s">
        <v>15</v>
      </c>
      <c r="B4" s="58">
        <v>0.20568632413734922</v>
      </c>
      <c r="C4" s="58">
        <v>0.20568632413734922</v>
      </c>
      <c r="D4" s="58">
        <v>0.20568632413734922</v>
      </c>
      <c r="E4" s="58">
        <v>0.20568632413734922</v>
      </c>
      <c r="F4" s="58">
        <v>0.71717217678043765</v>
      </c>
      <c r="G4" s="58">
        <v>0.71717217678043765</v>
      </c>
      <c r="H4" s="58">
        <v>0.84567615615030567</v>
      </c>
      <c r="I4" s="58">
        <v>0.84567615615030567</v>
      </c>
      <c r="J4" s="116">
        <v>0.77513023782559454</v>
      </c>
      <c r="K4" s="116">
        <v>0.77513023782559454</v>
      </c>
      <c r="L4" s="117">
        <v>0.77513023782559454</v>
      </c>
      <c r="M4" s="117">
        <v>0.77513023782559454</v>
      </c>
      <c r="N4" s="58">
        <v>0.24134447607677467</v>
      </c>
      <c r="O4" s="58">
        <v>0.24134447607677467</v>
      </c>
      <c r="P4" s="58">
        <v>0.24134447607677467</v>
      </c>
      <c r="Q4" s="58">
        <v>0.24134447607677467</v>
      </c>
      <c r="R4" s="58">
        <v>0.76404689535388626</v>
      </c>
      <c r="S4" s="58">
        <v>0.76404689535388626</v>
      </c>
      <c r="T4" s="58">
        <v>0.96807286193264275</v>
      </c>
      <c r="U4" s="118">
        <v>0.96807286193264275</v>
      </c>
      <c r="V4" s="125">
        <v>1</v>
      </c>
      <c r="W4" s="126">
        <v>1</v>
      </c>
      <c r="X4" s="119">
        <v>1</v>
      </c>
      <c r="Y4" s="59">
        <v>1</v>
      </c>
    </row>
  </sheetData>
  <mergeCells count="2">
    <mergeCell ref="B1:M1"/>
    <mergeCell ref="N1:Y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59999389629810485"/>
  </sheetPr>
  <dimension ref="A1:AH60"/>
  <sheetViews>
    <sheetView topLeftCell="M1" zoomScale="64" zoomScaleNormal="115" workbookViewId="0">
      <selection activeCell="Y12" sqref="Y12"/>
    </sheetView>
  </sheetViews>
  <sheetFormatPr defaultRowHeight="14.4" x14ac:dyDescent="0.3"/>
  <cols>
    <col min="1" max="1" width="15.109375" customWidth="1"/>
    <col min="10" max="10" width="9.77734375" customWidth="1"/>
    <col min="11" max="11" width="9.44140625" customWidth="1"/>
    <col min="14" max="14" width="10.88671875" customWidth="1"/>
    <col min="15" max="15" width="9.88671875" bestFit="1" customWidth="1"/>
    <col min="20" max="20" width="23.5546875" customWidth="1"/>
    <col min="25" max="25" width="14.33203125" customWidth="1"/>
    <col min="31" max="31" width="17.44140625" customWidth="1"/>
    <col min="32" max="32" width="8.88671875" style="36"/>
  </cols>
  <sheetData>
    <row r="1" spans="1:34" s="11" customFormat="1" x14ac:dyDescent="0.3">
      <c r="B1" s="64" t="s">
        <v>24</v>
      </c>
      <c r="C1" s="64"/>
      <c r="D1" s="64"/>
      <c r="E1" s="64"/>
      <c r="F1" s="64"/>
      <c r="G1" s="64"/>
      <c r="H1" s="64"/>
      <c r="I1" s="64"/>
      <c r="J1" s="64"/>
      <c r="K1" s="64"/>
      <c r="L1" s="64"/>
      <c r="M1" s="64"/>
      <c r="N1" s="52" t="s">
        <v>32</v>
      </c>
      <c r="O1" s="65"/>
      <c r="P1" s="65"/>
      <c r="Q1" s="65"/>
      <c r="R1" s="65"/>
      <c r="S1" s="52" t="s">
        <v>215</v>
      </c>
      <c r="T1" s="65"/>
      <c r="U1" s="65"/>
      <c r="V1" s="65"/>
      <c r="W1" s="65"/>
      <c r="X1" s="52" t="s">
        <v>393</v>
      </c>
      <c r="Y1" s="65"/>
      <c r="Z1" s="65"/>
      <c r="AA1" s="65"/>
      <c r="AB1" s="66"/>
      <c r="AD1" s="52" t="s">
        <v>268</v>
      </c>
      <c r="AE1" s="65"/>
      <c r="AF1" s="416"/>
      <c r="AG1" s="65"/>
      <c r="AH1" s="66"/>
    </row>
    <row r="2" spans="1:34" ht="18.600000000000001" thickBot="1" x14ac:dyDescent="0.4">
      <c r="B2" s="37" t="s">
        <v>0</v>
      </c>
      <c r="C2" s="37" t="s">
        <v>1</v>
      </c>
      <c r="D2" s="37" t="s">
        <v>2</v>
      </c>
      <c r="E2" s="37" t="s">
        <v>3</v>
      </c>
      <c r="F2" s="37" t="s">
        <v>4</v>
      </c>
      <c r="G2" s="37" t="s">
        <v>5</v>
      </c>
      <c r="H2" s="37" t="s">
        <v>6</v>
      </c>
      <c r="I2" s="37" t="s">
        <v>7</v>
      </c>
      <c r="J2" s="37" t="s">
        <v>8</v>
      </c>
      <c r="K2" s="37" t="s">
        <v>9</v>
      </c>
      <c r="L2" s="37" t="s">
        <v>10</v>
      </c>
      <c r="M2" s="37" t="s">
        <v>11</v>
      </c>
      <c r="N2" s="14">
        <v>1</v>
      </c>
      <c r="O2" s="49" t="s">
        <v>33</v>
      </c>
      <c r="P2" s="50"/>
      <c r="Q2" s="50"/>
      <c r="R2" s="50"/>
      <c r="S2" s="284">
        <v>1</v>
      </c>
      <c r="T2" s="38" t="s">
        <v>325</v>
      </c>
      <c r="U2" s="38">
        <v>1</v>
      </c>
      <c r="V2" s="65"/>
      <c r="W2" s="66"/>
      <c r="X2" s="38">
        <v>1</v>
      </c>
      <c r="Y2" s="512" t="s">
        <v>396</v>
      </c>
      <c r="Z2" s="65">
        <v>0</v>
      </c>
      <c r="AA2" s="38"/>
      <c r="AB2" s="39"/>
      <c r="AD2" s="38">
        <v>1</v>
      </c>
      <c r="AE2" s="38" t="s">
        <v>313</v>
      </c>
      <c r="AF2" s="445">
        <v>0</v>
      </c>
      <c r="AG2" s="38"/>
      <c r="AH2" s="39"/>
    </row>
    <row r="3" spans="1:34" ht="18.600000000000001" thickBot="1" x14ac:dyDescent="0.4">
      <c r="A3" s="68" t="s">
        <v>25</v>
      </c>
      <c r="B3" s="6">
        <v>31</v>
      </c>
      <c r="C3" s="7">
        <v>28</v>
      </c>
      <c r="D3" s="7">
        <v>31</v>
      </c>
      <c r="E3" s="6">
        <v>30</v>
      </c>
      <c r="F3" s="6">
        <v>31</v>
      </c>
      <c r="G3" s="6">
        <v>30</v>
      </c>
      <c r="H3" s="6">
        <v>31</v>
      </c>
      <c r="I3" s="6">
        <v>31</v>
      </c>
      <c r="J3" s="6">
        <v>30</v>
      </c>
      <c r="K3" s="6">
        <v>31</v>
      </c>
      <c r="L3" s="6">
        <v>30</v>
      </c>
      <c r="M3" s="48">
        <v>31</v>
      </c>
      <c r="N3" s="15">
        <v>2</v>
      </c>
      <c r="O3" s="51" t="s">
        <v>34</v>
      </c>
      <c r="P3" s="40"/>
      <c r="Q3" s="40"/>
      <c r="R3" s="40"/>
      <c r="S3" s="111">
        <v>2</v>
      </c>
      <c r="T3" s="50" t="s">
        <v>331</v>
      </c>
      <c r="U3" s="50">
        <v>2</v>
      </c>
      <c r="V3" s="69"/>
      <c r="W3" s="285"/>
      <c r="X3" s="50">
        <v>2</v>
      </c>
      <c r="Y3" s="513" t="s">
        <v>365</v>
      </c>
      <c r="Z3" s="69">
        <v>2</v>
      </c>
      <c r="AA3" s="50"/>
      <c r="AB3" s="283"/>
      <c r="AD3" s="50">
        <v>2</v>
      </c>
      <c r="AE3" s="50" t="s">
        <v>374</v>
      </c>
      <c r="AF3" s="425">
        <v>2</v>
      </c>
      <c r="AG3" s="50"/>
      <c r="AH3" s="283"/>
    </row>
    <row r="4" spans="1:34" x14ac:dyDescent="0.3">
      <c r="A4" s="68">
        <v>1</v>
      </c>
      <c r="B4" s="36">
        <v>0</v>
      </c>
      <c r="C4" s="36">
        <v>0</v>
      </c>
      <c r="D4" s="36">
        <v>0</v>
      </c>
      <c r="E4" s="36">
        <v>0</v>
      </c>
      <c r="F4" s="36">
        <v>0</v>
      </c>
      <c r="G4" s="36">
        <v>0</v>
      </c>
      <c r="H4" s="36">
        <v>0</v>
      </c>
      <c r="I4" s="36">
        <v>0</v>
      </c>
      <c r="J4" s="36">
        <v>0</v>
      </c>
      <c r="K4" s="36">
        <v>0</v>
      </c>
      <c r="L4" s="36">
        <v>0</v>
      </c>
      <c r="M4" s="36">
        <v>0</v>
      </c>
      <c r="N4" s="46">
        <v>1</v>
      </c>
      <c r="O4" s="47" t="str">
        <f>VLOOKUP(N4,N2:O3,2,FALSE)</f>
        <v>No trips eliminated by seasonal closure</v>
      </c>
      <c r="P4" s="47"/>
      <c r="Q4" s="47"/>
      <c r="R4" s="47"/>
      <c r="S4" s="111">
        <v>3</v>
      </c>
      <c r="T4" s="50" t="s">
        <v>326</v>
      </c>
      <c r="U4" s="50">
        <v>3</v>
      </c>
      <c r="V4" s="50"/>
      <c r="W4" s="283"/>
      <c r="X4" s="50">
        <v>3</v>
      </c>
      <c r="Y4" s="513" t="s">
        <v>366</v>
      </c>
      <c r="Z4" s="69">
        <v>1</v>
      </c>
      <c r="AA4" s="50"/>
      <c r="AB4" s="283"/>
      <c r="AD4" s="50">
        <v>3</v>
      </c>
      <c r="AE4" s="50" t="s">
        <v>375</v>
      </c>
      <c r="AF4" s="425">
        <v>4</v>
      </c>
      <c r="AG4" s="50"/>
      <c r="AH4" s="283"/>
    </row>
    <row r="5" spans="1:34" x14ac:dyDescent="0.3">
      <c r="A5" s="68">
        <v>2</v>
      </c>
      <c r="B5" s="36">
        <v>1</v>
      </c>
      <c r="C5" s="36">
        <v>1</v>
      </c>
      <c r="D5" s="36">
        <v>1</v>
      </c>
      <c r="E5" s="36">
        <v>1</v>
      </c>
      <c r="F5" s="36">
        <v>1</v>
      </c>
      <c r="G5" s="36">
        <v>1</v>
      </c>
      <c r="H5" s="36">
        <v>1</v>
      </c>
      <c r="I5" s="36">
        <v>1</v>
      </c>
      <c r="J5" s="36">
        <v>1</v>
      </c>
      <c r="K5" s="36">
        <v>1</v>
      </c>
      <c r="L5" s="36">
        <v>1</v>
      </c>
      <c r="M5" s="36">
        <v>1</v>
      </c>
      <c r="S5" s="46">
        <v>2</v>
      </c>
      <c r="T5" s="47">
        <f>VLOOKUP(S5,S2:U4,3,FALSE)</f>
        <v>2</v>
      </c>
      <c r="U5" s="47"/>
      <c r="V5" s="47"/>
      <c r="W5" s="286"/>
      <c r="X5" s="62">
        <v>3</v>
      </c>
      <c r="Y5" s="62">
        <v>1</v>
      </c>
      <c r="Z5" s="62"/>
      <c r="AA5" s="62"/>
      <c r="AB5" s="63"/>
      <c r="AD5" s="62">
        <v>1</v>
      </c>
      <c r="AE5" s="62">
        <v>1</v>
      </c>
      <c r="AF5" s="426">
        <v>2</v>
      </c>
      <c r="AG5" s="62"/>
      <c r="AH5" s="63"/>
    </row>
    <row r="6" spans="1:34" x14ac:dyDescent="0.3">
      <c r="A6" s="68">
        <v>3</v>
      </c>
      <c r="B6" s="36">
        <v>2</v>
      </c>
      <c r="C6" s="36">
        <v>2</v>
      </c>
      <c r="D6" s="36">
        <v>2</v>
      </c>
      <c r="E6" s="36">
        <v>2</v>
      </c>
      <c r="F6" s="36">
        <v>2</v>
      </c>
      <c r="G6" s="36">
        <v>2</v>
      </c>
      <c r="H6" s="36">
        <v>2</v>
      </c>
      <c r="I6" s="36">
        <v>2</v>
      </c>
      <c r="J6" s="36">
        <v>2</v>
      </c>
      <c r="K6" s="36">
        <v>2</v>
      </c>
      <c r="L6" s="36">
        <v>2</v>
      </c>
      <c r="M6" s="36">
        <v>2</v>
      </c>
      <c r="X6" s="52" t="s">
        <v>394</v>
      </c>
      <c r="Y6" s="65"/>
      <c r="Z6" s="65"/>
      <c r="AA6" s="65"/>
      <c r="AB6" s="66"/>
      <c r="AD6" s="52" t="s">
        <v>269</v>
      </c>
      <c r="AE6" s="65"/>
      <c r="AF6" s="416"/>
      <c r="AG6" s="65"/>
      <c r="AH6" s="66"/>
    </row>
    <row r="7" spans="1:34" x14ac:dyDescent="0.3">
      <c r="A7" s="68">
        <v>4</v>
      </c>
      <c r="B7" s="36">
        <v>3</v>
      </c>
      <c r="C7" s="36">
        <v>3</v>
      </c>
      <c r="D7" s="36">
        <v>3</v>
      </c>
      <c r="E7" s="36">
        <v>3</v>
      </c>
      <c r="F7" s="36">
        <v>3</v>
      </c>
      <c r="G7" s="36">
        <v>3</v>
      </c>
      <c r="H7" s="36">
        <v>3</v>
      </c>
      <c r="I7" s="36">
        <v>3</v>
      </c>
      <c r="J7" s="36">
        <v>3</v>
      </c>
      <c r="K7" s="36">
        <v>3</v>
      </c>
      <c r="L7" s="36">
        <v>3</v>
      </c>
      <c r="M7" s="36">
        <v>3</v>
      </c>
      <c r="X7" s="38">
        <v>1</v>
      </c>
      <c r="Y7" s="512" t="s">
        <v>396</v>
      </c>
      <c r="Z7" s="65">
        <v>0</v>
      </c>
      <c r="AA7" s="38"/>
      <c r="AB7" s="39"/>
      <c r="AD7" s="38">
        <v>1</v>
      </c>
      <c r="AE7" s="38" t="s">
        <v>313</v>
      </c>
      <c r="AF7" s="416">
        <v>0</v>
      </c>
      <c r="AG7" s="38"/>
      <c r="AH7" s="39"/>
    </row>
    <row r="8" spans="1:34" x14ac:dyDescent="0.3">
      <c r="A8" s="68">
        <v>5</v>
      </c>
      <c r="B8" s="36">
        <v>4</v>
      </c>
      <c r="C8" s="36">
        <v>4</v>
      </c>
      <c r="D8" s="36">
        <v>4</v>
      </c>
      <c r="E8" s="36">
        <v>4</v>
      </c>
      <c r="F8" s="36">
        <v>4</v>
      </c>
      <c r="G8" s="36">
        <v>4</v>
      </c>
      <c r="H8" s="36">
        <v>4</v>
      </c>
      <c r="I8" s="36">
        <v>4</v>
      </c>
      <c r="J8" s="36">
        <v>4</v>
      </c>
      <c r="K8" s="36">
        <v>4</v>
      </c>
      <c r="L8" s="36">
        <v>4</v>
      </c>
      <c r="M8" s="36">
        <v>4</v>
      </c>
      <c r="S8" s="595"/>
      <c r="T8" s="595"/>
      <c r="U8" s="595"/>
      <c r="V8" s="595"/>
      <c r="W8" s="595"/>
      <c r="X8" s="50">
        <v>2</v>
      </c>
      <c r="Y8" s="50" t="s">
        <v>365</v>
      </c>
      <c r="Z8" s="69">
        <v>2</v>
      </c>
      <c r="AA8" s="50"/>
      <c r="AB8" s="283"/>
      <c r="AD8" s="50">
        <v>2</v>
      </c>
      <c r="AE8" s="50" t="s">
        <v>374</v>
      </c>
      <c r="AF8" s="425">
        <v>2</v>
      </c>
      <c r="AG8" s="50"/>
      <c r="AH8" s="283"/>
    </row>
    <row r="9" spans="1:34" x14ac:dyDescent="0.3">
      <c r="A9" s="68">
        <v>6</v>
      </c>
      <c r="B9" s="36">
        <v>5</v>
      </c>
      <c r="C9" s="36">
        <v>5</v>
      </c>
      <c r="D9" s="36">
        <v>5</v>
      </c>
      <c r="E9" s="36">
        <v>5</v>
      </c>
      <c r="F9" s="36">
        <v>5</v>
      </c>
      <c r="G9" s="36">
        <v>5</v>
      </c>
      <c r="H9" s="36">
        <v>5</v>
      </c>
      <c r="I9" s="36">
        <v>5</v>
      </c>
      <c r="J9" s="36">
        <v>5</v>
      </c>
      <c r="K9" s="36">
        <v>5</v>
      </c>
      <c r="L9" s="36">
        <v>5</v>
      </c>
      <c r="M9" s="36">
        <v>5</v>
      </c>
      <c r="X9" s="50">
        <v>3</v>
      </c>
      <c r="Y9" s="50" t="s">
        <v>366</v>
      </c>
      <c r="Z9" s="69">
        <v>1</v>
      </c>
      <c r="AA9" s="50"/>
      <c r="AB9" s="283"/>
      <c r="AD9" s="50">
        <v>3</v>
      </c>
      <c r="AE9" s="50" t="s">
        <v>375</v>
      </c>
      <c r="AF9" s="425">
        <v>4</v>
      </c>
      <c r="AG9" s="50"/>
      <c r="AH9" s="283"/>
    </row>
    <row r="10" spans="1:34" x14ac:dyDescent="0.3">
      <c r="A10" s="68">
        <v>7</v>
      </c>
      <c r="B10" s="36">
        <v>6</v>
      </c>
      <c r="C10" s="36">
        <v>6</v>
      </c>
      <c r="D10" s="36">
        <v>6</v>
      </c>
      <c r="E10" s="36">
        <v>6</v>
      </c>
      <c r="F10" s="36">
        <v>6</v>
      </c>
      <c r="G10" s="36">
        <v>6</v>
      </c>
      <c r="H10" s="36">
        <v>6</v>
      </c>
      <c r="I10" s="36">
        <v>6</v>
      </c>
      <c r="J10" s="36">
        <v>6</v>
      </c>
      <c r="K10" s="36">
        <v>6</v>
      </c>
      <c r="L10" s="36">
        <v>6</v>
      </c>
      <c r="M10" s="36">
        <v>6</v>
      </c>
      <c r="X10" s="62">
        <v>3</v>
      </c>
      <c r="Y10" s="62">
        <v>1</v>
      </c>
      <c r="Z10" s="62"/>
      <c r="AA10" s="62"/>
      <c r="AB10" s="63"/>
      <c r="AD10" s="62">
        <v>3</v>
      </c>
      <c r="AE10" s="62">
        <v>1</v>
      </c>
      <c r="AF10" s="426">
        <v>1</v>
      </c>
      <c r="AG10" s="62"/>
      <c r="AH10" s="63"/>
    </row>
    <row r="11" spans="1:34" x14ac:dyDescent="0.3">
      <c r="A11" s="68">
        <v>8</v>
      </c>
      <c r="B11" s="36">
        <v>7</v>
      </c>
      <c r="C11" s="36">
        <v>7</v>
      </c>
      <c r="D11" s="36">
        <v>7</v>
      </c>
      <c r="E11" s="36">
        <v>7</v>
      </c>
      <c r="F11" s="36">
        <v>7</v>
      </c>
      <c r="G11" s="36">
        <v>7</v>
      </c>
      <c r="H11" s="36">
        <v>7</v>
      </c>
      <c r="I11" s="36">
        <v>7</v>
      </c>
      <c r="J11" s="36">
        <v>7</v>
      </c>
      <c r="K11" s="36">
        <v>7</v>
      </c>
      <c r="L11" s="36">
        <v>7</v>
      </c>
      <c r="M11" s="36">
        <v>7</v>
      </c>
      <c r="X11" s="52" t="s">
        <v>395</v>
      </c>
      <c r="Y11" s="65"/>
      <c r="Z11" s="65"/>
      <c r="AA11" s="65"/>
      <c r="AB11" s="66"/>
      <c r="AD11" s="52" t="s">
        <v>270</v>
      </c>
      <c r="AE11" s="65"/>
      <c r="AF11" s="416"/>
      <c r="AG11" s="65"/>
      <c r="AH11" s="66"/>
    </row>
    <row r="12" spans="1:34" x14ac:dyDescent="0.3">
      <c r="A12" s="68">
        <v>9</v>
      </c>
      <c r="B12" s="36">
        <v>8</v>
      </c>
      <c r="C12" s="36">
        <v>8</v>
      </c>
      <c r="D12" s="36">
        <v>8</v>
      </c>
      <c r="E12" s="36">
        <v>8</v>
      </c>
      <c r="F12" s="36">
        <v>8</v>
      </c>
      <c r="G12" s="36">
        <v>8</v>
      </c>
      <c r="H12" s="36">
        <v>8</v>
      </c>
      <c r="I12" s="36">
        <v>8</v>
      </c>
      <c r="J12" s="36">
        <v>8</v>
      </c>
      <c r="K12" s="36">
        <v>8</v>
      </c>
      <c r="L12" s="36">
        <v>8</v>
      </c>
      <c r="M12" s="36">
        <v>8</v>
      </c>
      <c r="X12" s="38">
        <v>1</v>
      </c>
      <c r="Y12" s="512" t="s">
        <v>396</v>
      </c>
      <c r="Z12" s="65">
        <v>0</v>
      </c>
      <c r="AA12" s="38"/>
      <c r="AB12" s="39"/>
      <c r="AD12" s="38">
        <v>1</v>
      </c>
      <c r="AE12" s="38" t="s">
        <v>313</v>
      </c>
      <c r="AF12" s="445">
        <v>0</v>
      </c>
      <c r="AG12" s="38"/>
      <c r="AH12" s="39"/>
    </row>
    <row r="13" spans="1:34" x14ac:dyDescent="0.3">
      <c r="A13" s="68">
        <v>10</v>
      </c>
      <c r="B13" s="36">
        <v>9</v>
      </c>
      <c r="C13" s="36">
        <v>9</v>
      </c>
      <c r="D13" s="36">
        <v>9</v>
      </c>
      <c r="E13" s="36">
        <v>9</v>
      </c>
      <c r="F13" s="36">
        <v>9</v>
      </c>
      <c r="G13" s="36">
        <v>9</v>
      </c>
      <c r="H13" s="36">
        <v>9</v>
      </c>
      <c r="I13" s="36">
        <v>9</v>
      </c>
      <c r="J13" s="36">
        <v>9</v>
      </c>
      <c r="K13" s="36">
        <v>9</v>
      </c>
      <c r="L13" s="36">
        <v>9</v>
      </c>
      <c r="M13" s="36">
        <v>9</v>
      </c>
      <c r="X13" s="50">
        <v>2</v>
      </c>
      <c r="Y13" s="50" t="s">
        <v>365</v>
      </c>
      <c r="Z13" s="69">
        <v>2</v>
      </c>
      <c r="AA13" s="50"/>
      <c r="AB13" s="283"/>
      <c r="AD13" s="50">
        <v>2</v>
      </c>
      <c r="AE13" s="50" t="s">
        <v>374</v>
      </c>
      <c r="AF13" s="425">
        <v>2</v>
      </c>
      <c r="AG13" s="50"/>
      <c r="AH13" s="283"/>
    </row>
    <row r="14" spans="1:34" x14ac:dyDescent="0.3">
      <c r="A14" s="68">
        <v>11</v>
      </c>
      <c r="B14" s="36">
        <v>10</v>
      </c>
      <c r="C14" s="36">
        <v>10</v>
      </c>
      <c r="D14" s="36">
        <v>10</v>
      </c>
      <c r="E14" s="36">
        <v>10</v>
      </c>
      <c r="F14" s="36">
        <v>10</v>
      </c>
      <c r="G14" s="36">
        <v>10</v>
      </c>
      <c r="H14" s="36">
        <v>10</v>
      </c>
      <c r="I14" s="36">
        <v>10</v>
      </c>
      <c r="J14" s="36">
        <v>10</v>
      </c>
      <c r="K14" s="36">
        <v>10</v>
      </c>
      <c r="L14" s="36">
        <v>10</v>
      </c>
      <c r="M14" s="36">
        <v>10</v>
      </c>
      <c r="X14" s="50">
        <v>3</v>
      </c>
      <c r="Y14" s="50" t="s">
        <v>366</v>
      </c>
      <c r="Z14" s="69">
        <v>1</v>
      </c>
      <c r="AA14" s="50"/>
      <c r="AB14" s="283"/>
      <c r="AD14" s="50">
        <v>3</v>
      </c>
      <c r="AE14" s="50" t="s">
        <v>375</v>
      </c>
      <c r="AF14" s="425">
        <v>4</v>
      </c>
      <c r="AG14" s="50"/>
      <c r="AH14" s="283"/>
    </row>
    <row r="15" spans="1:34" x14ac:dyDescent="0.3">
      <c r="A15" s="68">
        <v>12</v>
      </c>
      <c r="B15" s="36">
        <v>11</v>
      </c>
      <c r="C15" s="36">
        <v>11</v>
      </c>
      <c r="D15" s="36">
        <v>11</v>
      </c>
      <c r="E15" s="36">
        <v>11</v>
      </c>
      <c r="F15" s="36">
        <v>11</v>
      </c>
      <c r="G15" s="36">
        <v>11</v>
      </c>
      <c r="H15" s="36">
        <v>11</v>
      </c>
      <c r="I15" s="36">
        <v>11</v>
      </c>
      <c r="J15" s="36">
        <v>11</v>
      </c>
      <c r="K15" s="36">
        <v>11</v>
      </c>
      <c r="L15" s="36">
        <v>11</v>
      </c>
      <c r="M15" s="36">
        <v>11</v>
      </c>
      <c r="X15" s="62">
        <v>3</v>
      </c>
      <c r="Y15" s="62">
        <v>1</v>
      </c>
      <c r="Z15" s="62"/>
      <c r="AA15" s="62"/>
      <c r="AB15" s="63"/>
      <c r="AD15" s="62">
        <v>3</v>
      </c>
      <c r="AE15" s="62">
        <v>1</v>
      </c>
      <c r="AF15" s="426">
        <v>2</v>
      </c>
      <c r="AG15" s="62"/>
      <c r="AH15" s="63"/>
    </row>
    <row r="16" spans="1:34" x14ac:dyDescent="0.3">
      <c r="A16" s="68">
        <v>13</v>
      </c>
      <c r="B16" s="36">
        <v>12</v>
      </c>
      <c r="C16" s="36">
        <v>12</v>
      </c>
      <c r="D16" s="36">
        <v>12</v>
      </c>
      <c r="E16" s="36">
        <v>12</v>
      </c>
      <c r="F16" s="36">
        <v>12</v>
      </c>
      <c r="G16" s="36">
        <v>12</v>
      </c>
      <c r="H16" s="36">
        <v>12</v>
      </c>
      <c r="I16" s="36">
        <v>12</v>
      </c>
      <c r="J16" s="36">
        <v>12</v>
      </c>
      <c r="K16" s="36">
        <v>12</v>
      </c>
      <c r="L16" s="36">
        <v>12</v>
      </c>
      <c r="M16" s="36">
        <v>12</v>
      </c>
    </row>
    <row r="17" spans="1:24" x14ac:dyDescent="0.3">
      <c r="A17" s="68">
        <v>14</v>
      </c>
      <c r="B17" s="36">
        <v>13</v>
      </c>
      <c r="C17" s="36">
        <v>13</v>
      </c>
      <c r="D17" s="36">
        <v>13</v>
      </c>
      <c r="E17" s="36">
        <v>13</v>
      </c>
      <c r="F17" s="36">
        <v>13</v>
      </c>
      <c r="G17" s="36">
        <v>13</v>
      </c>
      <c r="H17" s="36">
        <v>13</v>
      </c>
      <c r="I17" s="36">
        <v>13</v>
      </c>
      <c r="J17" s="36">
        <v>13</v>
      </c>
      <c r="K17" s="36">
        <v>13</v>
      </c>
      <c r="L17" s="36">
        <v>13</v>
      </c>
      <c r="M17" s="36">
        <v>13</v>
      </c>
    </row>
    <row r="18" spans="1:24" x14ac:dyDescent="0.3">
      <c r="A18" s="68">
        <v>15</v>
      </c>
      <c r="B18" s="36">
        <v>14</v>
      </c>
      <c r="C18" s="36">
        <v>14</v>
      </c>
      <c r="D18" s="36">
        <v>14</v>
      </c>
      <c r="E18" s="36">
        <v>14</v>
      </c>
      <c r="F18" s="36">
        <v>14</v>
      </c>
      <c r="G18" s="36">
        <v>14</v>
      </c>
      <c r="H18" s="36">
        <v>14</v>
      </c>
      <c r="I18" s="36">
        <v>14</v>
      </c>
      <c r="J18" s="36">
        <v>14</v>
      </c>
      <c r="K18" s="36">
        <v>14</v>
      </c>
      <c r="L18" s="36">
        <v>14</v>
      </c>
      <c r="M18" s="36">
        <v>14</v>
      </c>
    </row>
    <row r="19" spans="1:24" x14ac:dyDescent="0.3">
      <c r="A19" s="68">
        <v>16</v>
      </c>
      <c r="B19" s="36">
        <v>15</v>
      </c>
      <c r="C19" s="36">
        <v>15</v>
      </c>
      <c r="D19" s="36">
        <v>15</v>
      </c>
      <c r="E19" s="36">
        <v>15</v>
      </c>
      <c r="F19" s="36">
        <v>15</v>
      </c>
      <c r="G19" s="36">
        <v>15</v>
      </c>
      <c r="H19" s="36">
        <v>15</v>
      </c>
      <c r="I19" s="36">
        <v>15</v>
      </c>
      <c r="J19" s="36">
        <v>15</v>
      </c>
      <c r="K19" s="36">
        <v>15</v>
      </c>
      <c r="L19" s="36">
        <v>15</v>
      </c>
      <c r="M19" s="36">
        <v>15</v>
      </c>
    </row>
    <row r="20" spans="1:24" x14ac:dyDescent="0.3">
      <c r="A20" s="68">
        <v>17</v>
      </c>
      <c r="B20" s="36">
        <v>16</v>
      </c>
      <c r="C20" s="36">
        <v>16</v>
      </c>
      <c r="D20" s="36">
        <v>16</v>
      </c>
      <c r="E20" s="36">
        <v>16</v>
      </c>
      <c r="F20" s="36">
        <v>16</v>
      </c>
      <c r="G20" s="36">
        <v>16</v>
      </c>
      <c r="H20" s="36">
        <v>16</v>
      </c>
      <c r="I20" s="36">
        <v>16</v>
      </c>
      <c r="J20" s="36">
        <v>16</v>
      </c>
      <c r="K20" s="36">
        <v>16</v>
      </c>
      <c r="L20" s="36">
        <v>16</v>
      </c>
      <c r="M20" s="36">
        <v>16</v>
      </c>
    </row>
    <row r="21" spans="1:24" x14ac:dyDescent="0.3">
      <c r="A21" s="68">
        <v>18</v>
      </c>
      <c r="B21" s="36">
        <v>17</v>
      </c>
      <c r="C21" s="36">
        <v>17</v>
      </c>
      <c r="D21" s="36">
        <v>17</v>
      </c>
      <c r="E21" s="36">
        <v>17</v>
      </c>
      <c r="F21" s="36">
        <v>17</v>
      </c>
      <c r="G21" s="36">
        <v>17</v>
      </c>
      <c r="H21" s="36">
        <v>17</v>
      </c>
      <c r="I21" s="36">
        <v>17</v>
      </c>
      <c r="J21" s="36">
        <v>17</v>
      </c>
      <c r="K21" s="36">
        <v>17</v>
      </c>
      <c r="L21" s="36">
        <v>17</v>
      </c>
      <c r="M21" s="36">
        <v>17</v>
      </c>
      <c r="V21" s="195"/>
      <c r="X21" s="195"/>
    </row>
    <row r="22" spans="1:24" x14ac:dyDescent="0.3">
      <c r="A22" s="68">
        <v>19</v>
      </c>
      <c r="B22" s="36">
        <v>18</v>
      </c>
      <c r="C22" s="36">
        <v>18</v>
      </c>
      <c r="D22" s="36">
        <v>18</v>
      </c>
      <c r="E22" s="36">
        <v>18</v>
      </c>
      <c r="F22" s="36">
        <v>18</v>
      </c>
      <c r="G22" s="36">
        <v>18</v>
      </c>
      <c r="H22" s="36">
        <v>18</v>
      </c>
      <c r="I22" s="36">
        <v>18</v>
      </c>
      <c r="J22" s="36">
        <v>18</v>
      </c>
      <c r="K22" s="36">
        <v>18</v>
      </c>
      <c r="L22" s="36">
        <v>18</v>
      </c>
      <c r="M22" s="36">
        <v>18</v>
      </c>
      <c r="V22" s="195"/>
      <c r="X22" s="195"/>
    </row>
    <row r="23" spans="1:24" x14ac:dyDescent="0.3">
      <c r="A23" s="68">
        <v>20</v>
      </c>
      <c r="B23" s="36">
        <v>19</v>
      </c>
      <c r="C23" s="36">
        <v>19</v>
      </c>
      <c r="D23" s="36">
        <v>19</v>
      </c>
      <c r="E23" s="36">
        <v>19</v>
      </c>
      <c r="F23" s="36">
        <v>19</v>
      </c>
      <c r="G23" s="36">
        <v>19</v>
      </c>
      <c r="H23" s="36">
        <v>19</v>
      </c>
      <c r="I23" s="36">
        <v>19</v>
      </c>
      <c r="J23" s="36">
        <v>19</v>
      </c>
      <c r="K23" s="36">
        <v>19</v>
      </c>
      <c r="L23" s="36">
        <v>19</v>
      </c>
      <c r="M23" s="36">
        <v>19</v>
      </c>
    </row>
    <row r="24" spans="1:24" x14ac:dyDescent="0.3">
      <c r="A24" s="68">
        <v>21</v>
      </c>
      <c r="B24" s="36">
        <v>20</v>
      </c>
      <c r="C24" s="36">
        <v>20</v>
      </c>
      <c r="D24" s="36">
        <v>20</v>
      </c>
      <c r="E24" s="36">
        <v>20</v>
      </c>
      <c r="F24" s="36">
        <v>20</v>
      </c>
      <c r="G24" s="36">
        <v>20</v>
      </c>
      <c r="H24" s="36">
        <v>20</v>
      </c>
      <c r="I24" s="36">
        <v>20</v>
      </c>
      <c r="J24" s="36">
        <v>20</v>
      </c>
      <c r="K24" s="36">
        <v>20</v>
      </c>
      <c r="L24" s="36">
        <v>20</v>
      </c>
      <c r="M24" s="36">
        <v>20</v>
      </c>
    </row>
    <row r="25" spans="1:24" x14ac:dyDescent="0.3">
      <c r="A25" s="68">
        <v>22</v>
      </c>
      <c r="B25" s="36">
        <v>21</v>
      </c>
      <c r="C25" s="36">
        <v>21</v>
      </c>
      <c r="D25" s="36">
        <v>21</v>
      </c>
      <c r="E25" s="36">
        <v>21</v>
      </c>
      <c r="F25" s="36">
        <v>21</v>
      </c>
      <c r="G25" s="36">
        <v>21</v>
      </c>
      <c r="H25" s="36">
        <v>21</v>
      </c>
      <c r="I25" s="36">
        <v>21</v>
      </c>
      <c r="J25" s="36">
        <v>21</v>
      </c>
      <c r="K25" s="36">
        <v>21</v>
      </c>
      <c r="L25" s="36">
        <v>21</v>
      </c>
      <c r="M25" s="36">
        <v>21</v>
      </c>
    </row>
    <row r="26" spans="1:24" x14ac:dyDescent="0.3">
      <c r="A26" s="68">
        <v>23</v>
      </c>
      <c r="B26" s="36">
        <v>22</v>
      </c>
      <c r="C26" s="36">
        <v>22</v>
      </c>
      <c r="D26" s="36">
        <v>22</v>
      </c>
      <c r="E26" s="36">
        <v>22</v>
      </c>
      <c r="F26" s="36">
        <v>22</v>
      </c>
      <c r="G26" s="36">
        <v>22</v>
      </c>
      <c r="H26" s="36">
        <v>22</v>
      </c>
      <c r="I26" s="36">
        <v>22</v>
      </c>
      <c r="J26" s="36">
        <v>22</v>
      </c>
      <c r="K26" s="36">
        <v>22</v>
      </c>
      <c r="L26" s="36">
        <v>22</v>
      </c>
      <c r="M26" s="36">
        <v>22</v>
      </c>
    </row>
    <row r="27" spans="1:24" x14ac:dyDescent="0.3">
      <c r="A27" s="68">
        <v>24</v>
      </c>
      <c r="B27" s="36">
        <v>23</v>
      </c>
      <c r="C27" s="36">
        <v>23</v>
      </c>
      <c r="D27" s="36">
        <v>23</v>
      </c>
      <c r="E27" s="36">
        <v>23</v>
      </c>
      <c r="F27" s="36">
        <v>23</v>
      </c>
      <c r="G27" s="36">
        <v>23</v>
      </c>
      <c r="H27" s="36">
        <v>23</v>
      </c>
      <c r="I27" s="36">
        <v>23</v>
      </c>
      <c r="J27" s="36">
        <v>23</v>
      </c>
      <c r="K27" s="36">
        <v>23</v>
      </c>
      <c r="L27" s="36">
        <v>23</v>
      </c>
      <c r="M27" s="36">
        <v>23</v>
      </c>
    </row>
    <row r="28" spans="1:24" x14ac:dyDescent="0.3">
      <c r="A28" s="68">
        <v>25</v>
      </c>
      <c r="B28" s="36">
        <v>24</v>
      </c>
      <c r="C28" s="36">
        <v>24</v>
      </c>
      <c r="D28" s="36">
        <v>24</v>
      </c>
      <c r="E28" s="36">
        <v>24</v>
      </c>
      <c r="F28" s="36">
        <v>24</v>
      </c>
      <c r="G28" s="36">
        <v>24</v>
      </c>
      <c r="H28" s="36">
        <v>24</v>
      </c>
      <c r="I28" s="36">
        <v>24</v>
      </c>
      <c r="J28" s="36">
        <v>24</v>
      </c>
      <c r="K28" s="36">
        <v>24</v>
      </c>
      <c r="L28" s="36">
        <v>24</v>
      </c>
      <c r="M28" s="36">
        <v>24</v>
      </c>
    </row>
    <row r="29" spans="1:24" x14ac:dyDescent="0.3">
      <c r="A29" s="68">
        <v>26</v>
      </c>
      <c r="B29" s="36">
        <v>25</v>
      </c>
      <c r="C29" s="36">
        <v>25</v>
      </c>
      <c r="D29" s="36">
        <v>25</v>
      </c>
      <c r="E29" s="36">
        <v>25</v>
      </c>
      <c r="F29" s="36">
        <v>25</v>
      </c>
      <c r="G29" s="36">
        <v>25</v>
      </c>
      <c r="H29" s="36">
        <v>25</v>
      </c>
      <c r="I29" s="36">
        <v>25</v>
      </c>
      <c r="J29" s="36">
        <v>25</v>
      </c>
      <c r="K29" s="36">
        <v>25</v>
      </c>
      <c r="L29" s="36">
        <v>25</v>
      </c>
      <c r="M29" s="36">
        <v>25</v>
      </c>
    </row>
    <row r="30" spans="1:24" x14ac:dyDescent="0.3">
      <c r="A30" s="68">
        <v>27</v>
      </c>
      <c r="B30" s="36">
        <v>26</v>
      </c>
      <c r="C30" s="36">
        <v>26</v>
      </c>
      <c r="D30" s="36">
        <v>26</v>
      </c>
      <c r="E30" s="36">
        <v>26</v>
      </c>
      <c r="F30" s="36">
        <v>26</v>
      </c>
      <c r="G30" s="36">
        <v>26</v>
      </c>
      <c r="H30" s="36">
        <v>26</v>
      </c>
      <c r="I30" s="36">
        <v>26</v>
      </c>
      <c r="J30" s="36">
        <v>26</v>
      </c>
      <c r="K30" s="36">
        <v>26</v>
      </c>
      <c r="L30" s="36">
        <v>26</v>
      </c>
      <c r="M30" s="36">
        <v>26</v>
      </c>
    </row>
    <row r="31" spans="1:24" x14ac:dyDescent="0.3">
      <c r="A31" s="68">
        <v>28</v>
      </c>
      <c r="B31" s="36">
        <v>27</v>
      </c>
      <c r="C31" s="36">
        <v>27</v>
      </c>
      <c r="D31" s="36">
        <v>27</v>
      </c>
      <c r="E31" s="36">
        <v>27</v>
      </c>
      <c r="F31" s="36">
        <v>27</v>
      </c>
      <c r="G31" s="36">
        <v>27</v>
      </c>
      <c r="H31" s="36">
        <v>27</v>
      </c>
      <c r="I31" s="36">
        <v>27</v>
      </c>
      <c r="J31" s="36">
        <v>27</v>
      </c>
      <c r="K31" s="36">
        <v>27</v>
      </c>
      <c r="L31" s="36">
        <v>27</v>
      </c>
      <c r="M31" s="36">
        <v>27</v>
      </c>
    </row>
    <row r="32" spans="1:24" x14ac:dyDescent="0.3">
      <c r="A32" s="68">
        <v>29</v>
      </c>
      <c r="B32" s="36">
        <v>28</v>
      </c>
      <c r="C32" s="36">
        <v>28</v>
      </c>
      <c r="D32" s="36">
        <v>28</v>
      </c>
      <c r="E32" s="36">
        <v>28</v>
      </c>
      <c r="F32" s="36">
        <v>28</v>
      </c>
      <c r="G32" s="36">
        <v>28</v>
      </c>
      <c r="H32" s="36">
        <v>28</v>
      </c>
      <c r="I32" s="36">
        <v>28</v>
      </c>
      <c r="J32" s="36">
        <v>28</v>
      </c>
      <c r="K32" s="36">
        <v>28</v>
      </c>
      <c r="L32" s="36">
        <v>28</v>
      </c>
      <c r="M32" s="36">
        <v>28</v>
      </c>
    </row>
    <row r="33" spans="1:32" x14ac:dyDescent="0.3">
      <c r="A33" s="68">
        <v>30</v>
      </c>
      <c r="B33" s="36">
        <v>29</v>
      </c>
      <c r="C33" s="36"/>
      <c r="D33" s="36">
        <v>29</v>
      </c>
      <c r="E33" s="36">
        <v>29</v>
      </c>
      <c r="F33" s="36">
        <v>29</v>
      </c>
      <c r="G33" s="36">
        <v>29</v>
      </c>
      <c r="H33" s="36">
        <v>29</v>
      </c>
      <c r="I33" s="36">
        <v>29</v>
      </c>
      <c r="J33" s="36">
        <v>29</v>
      </c>
      <c r="K33" s="36">
        <v>29</v>
      </c>
      <c r="L33" s="36">
        <v>29</v>
      </c>
      <c r="M33" s="36">
        <v>29</v>
      </c>
      <c r="S33" s="11"/>
      <c r="T33" s="11"/>
      <c r="U33" s="11"/>
      <c r="V33" s="11"/>
      <c r="W33" s="11"/>
    </row>
    <row r="34" spans="1:32" x14ac:dyDescent="0.3">
      <c r="A34" s="68">
        <v>31</v>
      </c>
      <c r="B34" s="36">
        <v>30</v>
      </c>
      <c r="C34" s="36"/>
      <c r="D34" s="36">
        <v>30</v>
      </c>
      <c r="E34" s="36">
        <v>30</v>
      </c>
      <c r="F34" s="36">
        <v>30</v>
      </c>
      <c r="G34" s="36">
        <v>30</v>
      </c>
      <c r="H34" s="36">
        <v>30</v>
      </c>
      <c r="I34" s="36">
        <v>30</v>
      </c>
      <c r="J34" s="36">
        <v>30</v>
      </c>
      <c r="K34" s="36">
        <v>30</v>
      </c>
      <c r="L34" s="36">
        <v>30</v>
      </c>
      <c r="M34" s="36">
        <v>30</v>
      </c>
    </row>
    <row r="35" spans="1:32" x14ac:dyDescent="0.3">
      <c r="A35" s="68">
        <v>32</v>
      </c>
      <c r="B35" s="36">
        <v>31</v>
      </c>
      <c r="C35" s="36"/>
      <c r="D35" s="36">
        <v>31</v>
      </c>
      <c r="E35" s="36"/>
      <c r="F35" s="36">
        <v>31</v>
      </c>
      <c r="G35" s="36"/>
      <c r="H35" s="36">
        <v>31</v>
      </c>
      <c r="I35" s="36">
        <v>31</v>
      </c>
      <c r="J35" s="36"/>
      <c r="K35" s="36">
        <v>31</v>
      </c>
      <c r="L35" s="36"/>
      <c r="M35" s="36">
        <v>31</v>
      </c>
    </row>
    <row r="36" spans="1:32" ht="15" thickBot="1" x14ac:dyDescent="0.35">
      <c r="B36" s="11" t="s">
        <v>24</v>
      </c>
    </row>
    <row r="37" spans="1:32" s="11" customFormat="1" x14ac:dyDescent="0.3">
      <c r="A37" s="166"/>
      <c r="B37" s="167" t="s">
        <v>0</v>
      </c>
      <c r="C37" s="167" t="s">
        <v>1</v>
      </c>
      <c r="D37" s="167" t="s">
        <v>2</v>
      </c>
      <c r="E37" s="167" t="s">
        <v>3</v>
      </c>
      <c r="F37" s="167" t="s">
        <v>4</v>
      </c>
      <c r="G37" s="167" t="s">
        <v>5</v>
      </c>
      <c r="H37" s="167" t="s">
        <v>6</v>
      </c>
      <c r="I37" s="167" t="s">
        <v>7</v>
      </c>
      <c r="J37" s="167" t="s">
        <v>8</v>
      </c>
      <c r="K37" s="167" t="s">
        <v>9</v>
      </c>
      <c r="L37" s="167" t="s">
        <v>10</v>
      </c>
      <c r="M37" s="168" t="s">
        <v>11</v>
      </c>
      <c r="S37"/>
      <c r="T37"/>
      <c r="U37"/>
      <c r="V37"/>
      <c r="W37"/>
      <c r="X37"/>
      <c r="Y37"/>
      <c r="Z37"/>
      <c r="AA37"/>
      <c r="AB37"/>
      <c r="AF37" s="64"/>
    </row>
    <row r="38" spans="1:32" x14ac:dyDescent="0.3">
      <c r="A38" s="169"/>
      <c r="B38" s="70">
        <v>32</v>
      </c>
      <c r="C38" s="70">
        <v>29</v>
      </c>
      <c r="D38" s="70">
        <v>32</v>
      </c>
      <c r="E38" s="70">
        <v>31</v>
      </c>
      <c r="F38" s="70">
        <v>1</v>
      </c>
      <c r="G38" s="70">
        <v>1</v>
      </c>
      <c r="H38" s="70">
        <v>1</v>
      </c>
      <c r="I38" s="70">
        <v>1</v>
      </c>
      <c r="J38" s="70">
        <v>1</v>
      </c>
      <c r="K38" s="70">
        <v>1</v>
      </c>
      <c r="L38" s="70">
        <v>1</v>
      </c>
      <c r="M38" s="170">
        <v>1</v>
      </c>
    </row>
    <row r="39" spans="1:32" x14ac:dyDescent="0.3">
      <c r="A39" s="171" t="s">
        <v>26</v>
      </c>
      <c r="B39" s="71">
        <f t="shared" ref="B39:M39" si="0">VLOOKUP(B38,$A:$M,COLUMN(B38),FALSE)</f>
        <v>31</v>
      </c>
      <c r="C39" s="71">
        <f t="shared" si="0"/>
        <v>28</v>
      </c>
      <c r="D39" s="71">
        <f t="shared" si="0"/>
        <v>31</v>
      </c>
      <c r="E39" s="71">
        <f t="shared" si="0"/>
        <v>30</v>
      </c>
      <c r="F39" s="71">
        <f t="shared" si="0"/>
        <v>0</v>
      </c>
      <c r="G39" s="71">
        <f t="shared" si="0"/>
        <v>0</v>
      </c>
      <c r="H39" s="71">
        <f t="shared" si="0"/>
        <v>0</v>
      </c>
      <c r="I39" s="71">
        <f t="shared" si="0"/>
        <v>0</v>
      </c>
      <c r="J39" s="71">
        <f t="shared" si="0"/>
        <v>0</v>
      </c>
      <c r="K39" s="71">
        <f t="shared" si="0"/>
        <v>0</v>
      </c>
      <c r="L39" s="71">
        <f t="shared" si="0"/>
        <v>0</v>
      </c>
      <c r="M39" s="172">
        <f t="shared" si="0"/>
        <v>0</v>
      </c>
      <c r="N39" s="202">
        <v>41640</v>
      </c>
    </row>
    <row r="40" spans="1:32" ht="15" thickBot="1" x14ac:dyDescent="0.35">
      <c r="A40" s="173" t="s">
        <v>41</v>
      </c>
      <c r="B40" s="174">
        <f>Model!G11</f>
        <v>1</v>
      </c>
      <c r="C40" s="174">
        <f>Model!H11</f>
        <v>1</v>
      </c>
      <c r="D40" s="174">
        <f>Model!I11</f>
        <v>1</v>
      </c>
      <c r="E40" s="174">
        <f>Model!J11</f>
        <v>1</v>
      </c>
      <c r="F40" s="174">
        <f>Model!K11</f>
        <v>0</v>
      </c>
      <c r="G40" s="174">
        <f>Model!L11</f>
        <v>0</v>
      </c>
      <c r="H40" s="174">
        <f>Model!M11</f>
        <v>0</v>
      </c>
      <c r="I40" s="174">
        <f>Model!N11</f>
        <v>0</v>
      </c>
      <c r="J40" s="174">
        <f>Model!O11</f>
        <v>0</v>
      </c>
      <c r="K40" s="174">
        <f>Model!P11</f>
        <v>0</v>
      </c>
      <c r="L40" s="174">
        <f>Model!Q11</f>
        <v>0</v>
      </c>
      <c r="M40" s="175">
        <f>Model!R11</f>
        <v>0</v>
      </c>
    </row>
    <row r="41" spans="1:32" x14ac:dyDescent="0.3">
      <c r="A41" s="516"/>
      <c r="B41" s="517"/>
      <c r="C41" s="517"/>
      <c r="D41" s="517"/>
      <c r="E41" s="517"/>
      <c r="F41" s="517"/>
      <c r="G41" s="517"/>
      <c r="H41" s="517"/>
      <c r="I41" s="517"/>
      <c r="J41" s="517"/>
      <c r="K41" s="517"/>
      <c r="L41" s="517"/>
      <c r="M41" s="517"/>
    </row>
    <row r="42" spans="1:32" ht="15" thickBot="1" x14ac:dyDescent="0.35">
      <c r="A42" s="67"/>
    </row>
    <row r="43" spans="1:32" x14ac:dyDescent="0.3">
      <c r="A43" s="75" t="s">
        <v>40</v>
      </c>
      <c r="B43" s="76" t="s">
        <v>0</v>
      </c>
      <c r="C43" s="76" t="s">
        <v>1</v>
      </c>
      <c r="D43" s="76" t="s">
        <v>2</v>
      </c>
      <c r="E43" s="76" t="s">
        <v>3</v>
      </c>
      <c r="F43" s="76" t="s">
        <v>4</v>
      </c>
      <c r="G43" s="76" t="s">
        <v>5</v>
      </c>
      <c r="H43" s="76" t="s">
        <v>6</v>
      </c>
      <c r="I43" s="76" t="s">
        <v>7</v>
      </c>
      <c r="J43" s="76" t="s">
        <v>8</v>
      </c>
      <c r="K43" s="76" t="s">
        <v>9</v>
      </c>
      <c r="L43" s="76" t="s">
        <v>10</v>
      </c>
      <c r="M43" s="77" t="s">
        <v>11</v>
      </c>
    </row>
    <row r="44" spans="1:32" x14ac:dyDescent="0.3">
      <c r="A44" s="80" t="s">
        <v>267</v>
      </c>
      <c r="B44" s="21">
        <f>IF(B$40=100%,0,((((Landings1!B4*(1-B$40))*0.98*B58)+(Landings1!B4*(1-B$40))*0.02*B57))*B52)</f>
        <v>0</v>
      </c>
      <c r="C44" s="21">
        <f>IF(C$40=100%,0,((((Landings1!C4*(1-C$40))*0.98*C58)+(Landings1!C4*(1-C$40))*0.02*C57))*C52)</f>
        <v>0</v>
      </c>
      <c r="D44" s="21">
        <f>IF(D$40=100%,0,((((Landings1!D4*(1-D$40))*0.98*D58)+(Landings1!D4*(1-D$40))*0.02*D57))*D52)</f>
        <v>0</v>
      </c>
      <c r="E44" s="21">
        <f>IF(E$40=100%,0,((((Landings1!E4*(1-E$40))*0.98*E58)+(Landings1!E4*(1-E$40))*0.02*E57))*E52)</f>
        <v>0</v>
      </c>
      <c r="F44" s="21">
        <f>IF(F$40=100%,0,((((Landings1!F4*(1-F$40)*(IF(F52&lt;F58,F52,F58)))))))</f>
        <v>893.56899999999996</v>
      </c>
      <c r="G44" s="21">
        <f>IF(G$40=100%,0,((((Landings1!G4*(1-G$40)*(IF(G52&lt;G58,G52,G58)))))))</f>
        <v>864.74419999999998</v>
      </c>
      <c r="H44" s="21">
        <f>IF(H$40=100%,0,((((Landings1!H4*(1-H$40)*(IF(H52&lt;H58,H52,H58)))))))</f>
        <v>582.7364</v>
      </c>
      <c r="I44" s="21">
        <f>IF(I$40=100%,0,((((Landings1!I4*(1-I$40)*(IF(I52&lt;I58,I52,I58)))))))</f>
        <v>582.7364</v>
      </c>
      <c r="J44" s="21">
        <f>IF(J$40=100%,0,((((Landings1!J4*(1-J$40)*(IF(J52&lt;J58,J52,J58)))))))</f>
        <v>323.4101</v>
      </c>
      <c r="K44" s="21">
        <f>IF(K$40=100%,0,((((Landings1!K4*(1-K$40)*(IF(K52&lt;K58,K52,K58)))))))</f>
        <v>334.19049999999999</v>
      </c>
      <c r="L44" s="21">
        <f>IF(L$40=100%,0,((((Landings1!L4*(1-L$40)*(IF(L52&lt;L58,L52,L58)))))))</f>
        <v>109.6835</v>
      </c>
      <c r="M44" s="21">
        <f>IF(M$40=100%,0,((((Landings1!M4*(1-M$40)*(IF(M52&lt;M58,M52,M58)))))))</f>
        <v>113.33969999999999</v>
      </c>
      <c r="P44" s="195">
        <f>IF(F$40=100%,0,((((Landings1!F6*(1-F$40))*0.98*F57)+(Landings1!F6*(1-F$40))*0.02*F58))*F52)</f>
        <v>5047.485999999999</v>
      </c>
    </row>
    <row r="45" spans="1:32" x14ac:dyDescent="0.3">
      <c r="A45" s="81" t="s">
        <v>184</v>
      </c>
      <c r="B45" s="21">
        <f>IF(B$40=100%,0,((((Landings1!B5*(1-B$40))*0.98*B57)+(Landings1!B5*(1-B$40))*0.02*B58))*B52)</f>
        <v>0</v>
      </c>
      <c r="C45" s="21">
        <f>IF(C$40=100%,0,((((Landings1!C5*(1-C$40))*0.98*C57)+(Landings1!C5*(1-C$40))*0.02*C58))*C52)</f>
        <v>0</v>
      </c>
      <c r="D45" s="21">
        <f>IF(D$40=100%,0,((((Landings1!D5*(1-D$40))*0.98*D57)+(Landings1!D5*(1-D$40))*0.02*D58))*D52)</f>
        <v>0</v>
      </c>
      <c r="E45" s="21">
        <f>IF(E$40=100%,0,((((Landings1!E5*(1-E$40))*0.98*E57)+(Landings1!E5*(1-E$40))*0.02*E58))*E52)</f>
        <v>0</v>
      </c>
      <c r="F45" s="21">
        <f>F49+(1.96*(STDEV(F44,F47,F48)/SQRT(3)))</f>
        <v>8427.71123920834</v>
      </c>
      <c r="G45" s="21">
        <f t="shared" ref="G45:M45" si="1">G49+(1.96*(STDEV(G44,G47,G48)/SQRT(3)))</f>
        <v>8155.8490660929992</v>
      </c>
      <c r="H45" s="21">
        <f t="shared" si="1"/>
        <v>10567.901575494949</v>
      </c>
      <c r="I45" s="21">
        <f t="shared" si="1"/>
        <v>10567.901575494949</v>
      </c>
      <c r="J45" s="21">
        <f t="shared" si="1"/>
        <v>1095.4559556188165</v>
      </c>
      <c r="K45" s="21">
        <f t="shared" si="1"/>
        <v>1131.9712798794512</v>
      </c>
      <c r="L45" s="21">
        <f t="shared" si="1"/>
        <v>280.26478972287623</v>
      </c>
      <c r="M45" s="21">
        <f t="shared" si="1"/>
        <v>289.60710597728752</v>
      </c>
      <c r="N45" s="144"/>
    </row>
    <row r="46" spans="1:32" x14ac:dyDescent="0.3">
      <c r="A46" s="82" t="s">
        <v>185</v>
      </c>
      <c r="B46" s="21">
        <f>IF(B$40=100%,0,((((Landings1!B6*(1-B$40))*0.98*B57)+(Landings1!B6*(1-B$40))*0.02*B58))*B52)</f>
        <v>0</v>
      </c>
      <c r="C46" s="21">
        <f>IF(C$40=100%,0,((((Landings1!C6*(1-C$40))*0.98*C57)+(Landings1!C6*(1-C$40))*0.02*C58))*C52)</f>
        <v>0</v>
      </c>
      <c r="D46" s="21">
        <f>IF(D$40=100%,0,((((Landings1!D6*(1-D$40))*0.98*D57)+(Landings1!D6*(1-D$40))*0.02*D58))*D52)</f>
        <v>0</v>
      </c>
      <c r="E46" s="21">
        <f>IF(E$40=100%,0,((((Landings1!E6*(1-E$40))*0.98*E57)+(Landings1!E6*(1-E$40))*0.02*E58))*E52)</f>
        <v>0</v>
      </c>
      <c r="F46" s="21">
        <f>F49-(1.96*(STDEV(F44,F47,F48)/SQRT(3)))</f>
        <v>5047.4867607916603</v>
      </c>
      <c r="G46" s="21">
        <f>G49-(1.96*(STDEV(G44,G47,G48)/SQRT(3)))</f>
        <v>4884.6641339070002</v>
      </c>
      <c r="H46" s="21">
        <f t="shared" ref="H46:M46" si="2">H49-(1.96*(STDEV(H44,H47,H48)/SQRT(3)))</f>
        <v>4234.889624505051</v>
      </c>
      <c r="I46" s="21">
        <f t="shared" si="2"/>
        <v>4234.889624505051</v>
      </c>
      <c r="J46" s="21">
        <f t="shared" si="2"/>
        <v>531.51004438118343</v>
      </c>
      <c r="K46" s="21">
        <f t="shared" si="2"/>
        <v>549.22712012054876</v>
      </c>
      <c r="L46" s="21">
        <f t="shared" si="2"/>
        <v>142.00821027712382</v>
      </c>
      <c r="M46" s="21">
        <f t="shared" si="2"/>
        <v>146.74189402271247</v>
      </c>
      <c r="N46" s="144"/>
    </row>
    <row r="47" spans="1:32" x14ac:dyDescent="0.3">
      <c r="A47" s="81" t="s">
        <v>16</v>
      </c>
      <c r="B47" s="23">
        <f>IF(B$40=100%,0,(Landings1!B7*(1-B$40))*B52*B57)</f>
        <v>0</v>
      </c>
      <c r="C47" s="23">
        <f>IF(C$40=100%,0,(Landings1!C7*(1-C$40))*C52*C57)</f>
        <v>0</v>
      </c>
      <c r="D47" s="23">
        <f>IF(D$40=100%,0,(Landings1!D7*(1-D$40))*D52*D57)</f>
        <v>0</v>
      </c>
      <c r="E47" s="23">
        <f>IF(E$40=100%,0,(Landings1!E7*(1-E$40))*E52*E57)</f>
        <v>0</v>
      </c>
      <c r="F47" s="23">
        <f>IF(F$40=100%,0,((((Landings1!F7*(1-F$40)*(IF(F53&lt;F59,F53,F59)))))))</f>
        <v>1995.104</v>
      </c>
      <c r="G47" s="23">
        <f>IF(G$40=100%,0,((((Landings1!G7*(1-G$40)*(IF(G53&lt;G59,G53,G59)))))))</f>
        <v>1930.7454</v>
      </c>
      <c r="H47" s="23">
        <f>IF(H$40=100%,0,((((Landings1!H7*(1-H$40)*(IF(H53&lt;H59,H53,H59)))))))</f>
        <v>1136.2405000000001</v>
      </c>
      <c r="I47" s="23">
        <f>IF(I$40=100%,0,((((Landings1!I7*(1-I$40)*(IF(I53&lt;I59,I53,I59)))))))</f>
        <v>1136.2405000000001</v>
      </c>
      <c r="J47" s="23">
        <f>IF(J$40=100%,0,((((Landings1!J7*(1-J$40)*(IF(J53&lt;J59,J53,J59)))))))</f>
        <v>490.0729</v>
      </c>
      <c r="K47" s="23">
        <f>IF(K$40=100%,0,((((Landings1!K7*(1-K$40)*(IF(K53&lt;K59,K53,K59)))))))</f>
        <v>506.40870000000001</v>
      </c>
      <c r="L47" s="23">
        <f>IF(L$40=100%,0,((((Landings1!L7*(1-L$40)*(IF(L53&lt;L59,L53,L59)))))))</f>
        <v>101.453</v>
      </c>
      <c r="M47" s="23">
        <f>IF(M$40=100%,0,((((Landings1!M7*(1-M$40)*(IF(M53&lt;M59,M53,M59)))))))</f>
        <v>104.8348</v>
      </c>
      <c r="N47" s="144"/>
    </row>
    <row r="48" spans="1:32" x14ac:dyDescent="0.3">
      <c r="A48" s="83" t="s">
        <v>17</v>
      </c>
      <c r="B48" s="25">
        <f>IF(B$40=100%,0,(Landings1!B8*(1-B$40))*B52*B57)</f>
        <v>0</v>
      </c>
      <c r="C48" s="25">
        <f>IF(C$40=100%,0,(Landings1!C8*(1-C$40))*C52*C57)</f>
        <v>0</v>
      </c>
      <c r="D48" s="25">
        <f>IF(D$40=100%,0,(Landings1!D8*(1-D$40))*D52*D57)</f>
        <v>0</v>
      </c>
      <c r="E48" s="25">
        <f>IF(E$40=100%,0,(Landings1!E8*(1-E$40))*E52*E57)</f>
        <v>0</v>
      </c>
      <c r="F48" s="25">
        <f>IF(F$40=100%,0,((((Landings1!F8*(1-F$40)*(IF(F54&lt;F57,F54,F57)))))))</f>
        <v>3848.9259999999999</v>
      </c>
      <c r="G48" s="25">
        <f>IF(G$40=100%,0,((((Landings1!G8*(1-G$40)*(IF(G54&lt;G57,G54,G57)))))))</f>
        <v>3724.7669999999998</v>
      </c>
      <c r="H48" s="25">
        <f>IF(H$40=100%,0,((((Landings1!H8*(1-H$40)*(IF(H54&lt;H57,H54,H57)))))))</f>
        <v>5682.4187000000002</v>
      </c>
      <c r="I48" s="25">
        <f>IF(I$40=100%,0,((((Landings1!I8*(1-I$40)*(IF(I54&lt;I57,I54,I57)))))))</f>
        <v>5682.4187000000002</v>
      </c>
      <c r="J48" s="25">
        <f>IF(J$40=100%,0,((((Landings1!J8*(1-J$40)*(IF(J54&lt;J57,J54,J57)))))))</f>
        <v>0</v>
      </c>
      <c r="K48" s="25">
        <f>IF(K$40=100%,0,((((Landings1!K8*(1-K$40)*(IF(K54&lt;K57,K54,K57)))))))</f>
        <v>0</v>
      </c>
      <c r="L48" s="25">
        <f>IF(L$40=100%,0,((((Landings1!L8*(1-L$40)*(IF(L54&lt;L57,L54,L57)))))))</f>
        <v>0</v>
      </c>
      <c r="M48" s="25">
        <f>IF(M$40=100%,0,((((Landings1!M8*(1-M$40)*(IF(M54&lt;M57,M54,M57)))))))</f>
        <v>0</v>
      </c>
      <c r="N48" s="144"/>
    </row>
    <row r="49" spans="1:20" ht="15" thickBot="1" x14ac:dyDescent="0.35">
      <c r="A49" s="84" t="s">
        <v>27</v>
      </c>
      <c r="B49" s="79">
        <f>B44</f>
        <v>0</v>
      </c>
      <c r="C49" s="79">
        <f>C44</f>
        <v>0</v>
      </c>
      <c r="D49" s="79">
        <f>D44</f>
        <v>0</v>
      </c>
      <c r="E49" s="79">
        <f>E44</f>
        <v>0</v>
      </c>
      <c r="F49" s="79">
        <f>SUM(F44,F47,F48)</f>
        <v>6737.5990000000002</v>
      </c>
      <c r="G49" s="79">
        <f t="shared" ref="G49:M49" si="3">SUM(G44,G47,G48)</f>
        <v>6520.2565999999997</v>
      </c>
      <c r="H49" s="79">
        <f t="shared" si="3"/>
        <v>7401.3955999999998</v>
      </c>
      <c r="I49" s="79">
        <f t="shared" si="3"/>
        <v>7401.3955999999998</v>
      </c>
      <c r="J49" s="79">
        <f t="shared" si="3"/>
        <v>813.48299999999995</v>
      </c>
      <c r="K49" s="79">
        <f t="shared" si="3"/>
        <v>840.5992</v>
      </c>
      <c r="L49" s="79">
        <f t="shared" si="3"/>
        <v>211.13650000000001</v>
      </c>
      <c r="M49" s="79">
        <f t="shared" si="3"/>
        <v>218.17449999999999</v>
      </c>
      <c r="N49" s="10">
        <f>SUM(B49:M49)</f>
        <v>30144.04</v>
      </c>
    </row>
    <row r="50" spans="1:20" ht="15" thickBot="1" x14ac:dyDescent="0.35">
      <c r="O50" s="144">
        <v>25375981</v>
      </c>
      <c r="P50" t="s">
        <v>141</v>
      </c>
    </row>
    <row r="51" spans="1:20" x14ac:dyDescent="0.3">
      <c r="A51" s="75" t="s">
        <v>45</v>
      </c>
      <c r="B51" s="76" t="s">
        <v>0</v>
      </c>
      <c r="C51" s="76" t="s">
        <v>1</v>
      </c>
      <c r="D51" s="76" t="s">
        <v>2</v>
      </c>
      <c r="E51" s="76" t="s">
        <v>3</v>
      </c>
      <c r="F51" s="76" t="s">
        <v>4</v>
      </c>
      <c r="G51" s="76" t="s">
        <v>5</v>
      </c>
      <c r="H51" s="76" t="s">
        <v>6</v>
      </c>
      <c r="I51" s="76" t="s">
        <v>7</v>
      </c>
      <c r="J51" s="76" t="s">
        <v>8</v>
      </c>
      <c r="K51" s="76" t="s">
        <v>9</v>
      </c>
      <c r="L51" s="76" t="s">
        <v>10</v>
      </c>
      <c r="M51" s="77" t="s">
        <v>11</v>
      </c>
    </row>
    <row r="52" spans="1:20" x14ac:dyDescent="0.3">
      <c r="A52" s="80" t="s">
        <v>42</v>
      </c>
      <c r="B52" s="73">
        <f>IF(ISNUMBER(1-VLOOKUP($Y$5,Bag_Limit!$A$4:$M$12,COLUMN(Inputs!B$51),FALSE)),1-VLOOKUP($Y$5,Bag_Limit!$A$4:$M$12,COLUMN(Inputs!B$51),FALSE),100%)</f>
        <v>1</v>
      </c>
      <c r="C52" s="73">
        <f>IF(ISNUMBER(1-VLOOKUP($Y$5,Bag_Limit!$A$4:$M$12,COLUMN(Inputs!C$51),FALSE)),1-VLOOKUP($Y$5,Bag_Limit!$A$4:$M$12,COLUMN(Inputs!C$51),FALSE),100%)</f>
        <v>1</v>
      </c>
      <c r="D52" s="73">
        <f>IF(ISNUMBER(1-VLOOKUP($Y$5,Bag_Limit!$A$4:$M$12,COLUMN(Inputs!D$51),FALSE)),1-VLOOKUP($Y$5,Bag_Limit!$A$4:$M$12,COLUMN(Inputs!D$51),FALSE),100%)</f>
        <v>1</v>
      </c>
      <c r="E52" s="73">
        <f>IF(ISNUMBER(1-VLOOKUP($Y$5,Bag_Limit!$A$4:$M$12,COLUMN(Inputs!E$51),FALSE)),1-VLOOKUP($Y$5,Bag_Limit!$A$4:$M$12,COLUMN(Inputs!E$51),FALSE),100%)</f>
        <v>1</v>
      </c>
      <c r="F52" s="73">
        <f>IF(ISNUMBER(1-VLOOKUP($Y$5,Bag_Limit!$A$4:$M$12,COLUMN(Inputs!F$51),FALSE)),1-VLOOKUP($Y$5,Bag_Limit!$A$4:$M$12,COLUMN(Inputs!F$51),FALSE),100%)</f>
        <v>1</v>
      </c>
      <c r="G52" s="73">
        <f>IF(ISNUMBER(1-VLOOKUP($Y$5,Bag_Limit!$A$4:$M$12,COLUMN(Inputs!G$51),FALSE)),1-VLOOKUP($Y$5,Bag_Limit!$A$4:$M$12,COLUMN(Inputs!G$51),FALSE),100%)</f>
        <v>1</v>
      </c>
      <c r="H52" s="73">
        <f>IF(ISNUMBER(1-VLOOKUP($Y$5,Bag_Limit!$A$4:$M$12,COLUMN(Inputs!H$51),FALSE)),1-VLOOKUP($Y$5,Bag_Limit!$A$4:$M$12,COLUMN(Inputs!H$51),FALSE),100%)</f>
        <v>1</v>
      </c>
      <c r="I52" s="73">
        <f>IF(ISNUMBER(1-VLOOKUP($Y$5,Bag_Limit!$A$4:$M$12,COLUMN(Inputs!I$51),FALSE)),1-VLOOKUP($Y$5,Bag_Limit!$A$4:$M$12,COLUMN(Inputs!I$51),FALSE),100%)</f>
        <v>1</v>
      </c>
      <c r="J52" s="73">
        <f>IF(ISNUMBER(1-VLOOKUP($Y$5,Bag_Limit!$A$4:$M$12,COLUMN(Inputs!J$51),FALSE)),1-VLOOKUP($Y$5,Bag_Limit!$A$4:$M$12,COLUMN(Inputs!J$51),FALSE),100%)</f>
        <v>1</v>
      </c>
      <c r="K52" s="73">
        <f>IF(ISNUMBER(1-VLOOKUP($Y$5,Bag_Limit!$A$4:$M$12,COLUMN(Inputs!K$51),FALSE)),1-VLOOKUP($Y$5,Bag_Limit!$A$4:$M$12,COLUMN(Inputs!K$51),FALSE),100%)</f>
        <v>1</v>
      </c>
      <c r="L52" s="73">
        <f>IF(ISNUMBER(1-VLOOKUP($Y$5,Bag_Limit!$A$4:$M$12,COLUMN(Inputs!L$51),FALSE)),1-VLOOKUP($Y$5,Bag_Limit!$A$4:$M$12,COLUMN(Inputs!L$51),FALSE),100%)</f>
        <v>1</v>
      </c>
      <c r="M52" s="73">
        <f>IF(ISNUMBER(1-VLOOKUP($Y$5,Bag_Limit!$A$4:$M$12,COLUMN(Inputs!M$51),FALSE)),1-VLOOKUP($Y$5,Bag_Limit!$A$4:$M$12,COLUMN(Inputs!M$51),FALSE),100%)</f>
        <v>1</v>
      </c>
    </row>
    <row r="53" spans="1:20" x14ac:dyDescent="0.3">
      <c r="A53" s="81" t="s">
        <v>16</v>
      </c>
      <c r="B53" s="74">
        <f>IF(ISNUMBER(1-VLOOKUP($Y$15,Bag_Limit!$A$16:$M$23,COLUMN(Inputs!B$51),FALSE)),1-VLOOKUP($Y$15,Bag_Limit!$A$16:$M$23,COLUMN(Inputs!B$51),FALSE),100%)</f>
        <v>1</v>
      </c>
      <c r="C53" s="74">
        <f>IF(ISNUMBER(1-VLOOKUP($Y$15,Bag_Limit!$A$16:$M$23,COLUMN(Inputs!C$51),FALSE)),1-VLOOKUP($Y$15,Bag_Limit!$A$16:$M$23,COLUMN(Inputs!C$51),FALSE),100%)</f>
        <v>1</v>
      </c>
      <c r="D53" s="74">
        <f>IF(ISNUMBER(1-VLOOKUP($Y$15,Bag_Limit!$A$16:$M$23,COLUMN(Inputs!D$51),FALSE)),1-VLOOKUP($Y$15,Bag_Limit!$A$16:$M$23,COLUMN(Inputs!D$51),FALSE),100%)</f>
        <v>1</v>
      </c>
      <c r="E53" s="74">
        <f>IF(ISNUMBER(1-VLOOKUP($Y$15,Bag_Limit!$A$16:$M$23,COLUMN(Inputs!E$51),FALSE)),1-VLOOKUP($Y$15,Bag_Limit!$A$16:$M$23,COLUMN(Inputs!E$51),FALSE),100%)</f>
        <v>1</v>
      </c>
      <c r="F53" s="74">
        <f>IF(ISNUMBER(1-VLOOKUP($Y$15,Bag_Limit!$A$16:$M$23,COLUMN(Inputs!F$51),FALSE)),1-VLOOKUP($Y$15,Bag_Limit!$A$16:$M$23,COLUMN(Inputs!F$51),FALSE),100%)</f>
        <v>1</v>
      </c>
      <c r="G53" s="74">
        <f>IF(ISNUMBER(1-VLOOKUP($Y$15,Bag_Limit!$A$16:$M$23,COLUMN(Inputs!G$51),FALSE)),1-VLOOKUP($Y$15,Bag_Limit!$A$16:$M$23,COLUMN(Inputs!G$51),FALSE),100%)</f>
        <v>1</v>
      </c>
      <c r="H53" s="74">
        <f>IF(ISNUMBER(1-VLOOKUP($Y$15,Bag_Limit!$A$16:$M$23,COLUMN(Inputs!H$51),FALSE)),1-VLOOKUP($Y$15,Bag_Limit!$A$16:$M$23,COLUMN(Inputs!H$51),FALSE),100%)</f>
        <v>1</v>
      </c>
      <c r="I53" s="74">
        <f>IF(ISNUMBER(1-VLOOKUP($Y$15,Bag_Limit!$A$16:$M$23,COLUMN(Inputs!I$51),FALSE)),1-VLOOKUP($Y$15,Bag_Limit!$A$16:$M$23,COLUMN(Inputs!I$51),FALSE),100%)</f>
        <v>1</v>
      </c>
      <c r="J53" s="74">
        <f>IF(ISNUMBER(1-VLOOKUP($Y$15,Bag_Limit!$A$16:$M$23,COLUMN(Inputs!J$51),FALSE)),1-VLOOKUP($Y$15,Bag_Limit!$A$16:$M$23,COLUMN(Inputs!J$51),FALSE),100%)</f>
        <v>1</v>
      </c>
      <c r="K53" s="74">
        <f>IF(ISNUMBER(1-VLOOKUP($Y$15,Bag_Limit!$A$16:$M$23,COLUMN(Inputs!K$51),FALSE)),1-VLOOKUP($Y$15,Bag_Limit!$A$16:$M$23,COLUMN(Inputs!K$51),FALSE),100%)</f>
        <v>1</v>
      </c>
      <c r="L53" s="74">
        <f>IF(ISNUMBER(1-VLOOKUP($Y$15,Bag_Limit!$A$16:$M$23,COLUMN(Inputs!L$51),FALSE)),1-VLOOKUP($Y$15,Bag_Limit!$A$16:$M$23,COLUMN(Inputs!L$51),FALSE),100%)</f>
        <v>1</v>
      </c>
      <c r="M53" s="74">
        <f>IF(ISNUMBER(1-VLOOKUP($Y$15,Bag_Limit!$A$16:$M$23,COLUMN(Inputs!M$51),FALSE)),1-VLOOKUP($Y$15,Bag_Limit!$A$16:$M$23,COLUMN(Inputs!M$51),FALSE),100%)</f>
        <v>1</v>
      </c>
    </row>
    <row r="54" spans="1:20" ht="15" thickBot="1" x14ac:dyDescent="0.35">
      <c r="A54" s="85" t="s">
        <v>17</v>
      </c>
      <c r="B54" s="78">
        <f>IF(ISNUMBER(1-VLOOKUP($Y$10,Bag_Limit!$A$27:$M$34,COLUMN(Inputs!B$51),FALSE)),1-VLOOKUP($Y$10,Bag_Limit!$A$27:$M$34,COLUMN(Inputs!B$51),FALSE),100%)</f>
        <v>1</v>
      </c>
      <c r="C54" s="78">
        <f>IF(ISNUMBER(1-VLOOKUP($Y$10,Bag_Limit!$A$27:$M$34,COLUMN(Inputs!C$51),FALSE)),1-VLOOKUP($Y$10,Bag_Limit!$A$27:$M$34,COLUMN(Inputs!C$51),FALSE),100%)</f>
        <v>1</v>
      </c>
      <c r="D54" s="78">
        <f>IF(ISNUMBER(1-VLOOKUP($Y$10,Bag_Limit!$A$27:$M$34,COLUMN(Inputs!D$51),FALSE)),1-VLOOKUP($Y$10,Bag_Limit!$A$27:$M$34,COLUMN(Inputs!D$51),FALSE),100%)</f>
        <v>1</v>
      </c>
      <c r="E54" s="78">
        <f>IF(ISNUMBER(1-VLOOKUP($Y$10,Bag_Limit!$A$27:$M$34,COLUMN(Inputs!E$51),FALSE)),1-VLOOKUP($Y$10,Bag_Limit!$A$27:$M$34,COLUMN(Inputs!E$51),FALSE),100%)</f>
        <v>1</v>
      </c>
      <c r="F54" s="78">
        <f>IF(ISNUMBER(1-VLOOKUP($Y$10,Bag_Limit!$A$27:$M$34,COLUMN(Inputs!F$51),FALSE)),1-VLOOKUP($Y$10,Bag_Limit!$A$27:$M$34,COLUMN(Inputs!F$51),FALSE),100%)</f>
        <v>1</v>
      </c>
      <c r="G54" s="78">
        <f>IF(ISNUMBER(1-VLOOKUP($Y$10,Bag_Limit!$A$27:$M$34,COLUMN(Inputs!G$51),FALSE)),1-VLOOKUP($Y$10,Bag_Limit!$A$27:$M$34,COLUMN(Inputs!G$51),FALSE),100%)</f>
        <v>1</v>
      </c>
      <c r="H54" s="78">
        <f>IF(ISNUMBER(1-VLOOKUP($Y$10,Bag_Limit!$A$27:$M$34,COLUMN(Inputs!H$51),FALSE)),1-VLOOKUP($Y$10,Bag_Limit!$A$27:$M$34,COLUMN(Inputs!H$51),FALSE),100%)</f>
        <v>1</v>
      </c>
      <c r="I54" s="78">
        <f>IF(ISNUMBER(1-VLOOKUP($Y$10,Bag_Limit!$A$27:$M$34,COLUMN(Inputs!I$51),FALSE)),1-VLOOKUP($Y$10,Bag_Limit!$A$27:$M$34,COLUMN(Inputs!I$51),FALSE),100%)</f>
        <v>1</v>
      </c>
      <c r="J54" s="78">
        <f>IF(ISNUMBER(1-VLOOKUP($Y$10,Bag_Limit!$A$27:$M$34,COLUMN(Inputs!J$51),FALSE)),1-VLOOKUP($Y$10,Bag_Limit!$A$27:$M$34,COLUMN(Inputs!J$51),FALSE),100%)</f>
        <v>1</v>
      </c>
      <c r="K54" s="78">
        <f>IF(ISNUMBER(1-VLOOKUP($Y$10,Bag_Limit!$A$27:$M$34,COLUMN(Inputs!K$51),FALSE)),1-VLOOKUP($Y$10,Bag_Limit!$A$27:$M$34,COLUMN(Inputs!K$51),FALSE),100%)</f>
        <v>1</v>
      </c>
      <c r="L54" s="78">
        <f>IF(ISNUMBER(1-VLOOKUP($Y$10,Bag_Limit!$A$27:$M$34,COLUMN(Inputs!L$51),FALSE)),1-VLOOKUP($Y$10,Bag_Limit!$A$27:$M$34,COLUMN(Inputs!L$51),FALSE),100%)</f>
        <v>1</v>
      </c>
      <c r="M54" s="78">
        <f>IF(ISNUMBER(1-VLOOKUP($Y$10,Bag_Limit!$A$27:$M$34,COLUMN(Inputs!M$51),FALSE)),1-VLOOKUP($Y$10,Bag_Limit!$A$27:$M$34,COLUMN(Inputs!M$51),FALSE),100%)</f>
        <v>1</v>
      </c>
    </row>
    <row r="55" spans="1:20" ht="15" thickBot="1" x14ac:dyDescent="0.35">
      <c r="T55" t="s">
        <v>373</v>
      </c>
    </row>
    <row r="56" spans="1:20" x14ac:dyDescent="0.3">
      <c r="A56" s="75" t="s">
        <v>140</v>
      </c>
      <c r="B56" s="76" t="s">
        <v>0</v>
      </c>
      <c r="C56" s="76" t="s">
        <v>1</v>
      </c>
      <c r="D56" s="76" t="s">
        <v>2</v>
      </c>
      <c r="E56" s="76" t="s">
        <v>3</v>
      </c>
      <c r="F56" s="76" t="s">
        <v>4</v>
      </c>
      <c r="G56" s="76" t="s">
        <v>5</v>
      </c>
      <c r="H56" s="76" t="s">
        <v>6</v>
      </c>
      <c r="I56" s="76" t="s">
        <v>7</v>
      </c>
      <c r="J56" s="76" t="s">
        <v>8</v>
      </c>
      <c r="K56" s="76" t="s">
        <v>9</v>
      </c>
      <c r="L56" s="76" t="s">
        <v>10</v>
      </c>
      <c r="M56" s="77" t="s">
        <v>11</v>
      </c>
      <c r="T56">
        <v>45</v>
      </c>
    </row>
    <row r="57" spans="1:20" x14ac:dyDescent="0.3">
      <c r="A57" s="80" t="s">
        <v>17</v>
      </c>
      <c r="B57" s="73">
        <f>IF(ISNUMBER(1-VLOOKUP($AE$5,Vessel_Limit!$B$4:$N$6,COLUMN(Inputs!B$56),FALSE)),1-VLOOKUP($AE$5,Vessel_Limit!$B$4:$N$6,COLUMN(Inputs!B$56),FALSE),100%)</f>
        <v>1</v>
      </c>
      <c r="C57" s="73">
        <f>IF(ISNUMBER(1-VLOOKUP($AE$5,Vessel_Limit!$B$4:$N$6,COLUMN(Inputs!C$56),FALSE)),1-VLOOKUP($AE$5,Vessel_Limit!$B$4:$N$6,COLUMN(Inputs!C$56),FALSE),100%)</f>
        <v>1</v>
      </c>
      <c r="D57" s="73">
        <f>IF(ISNUMBER(1-VLOOKUP($AE$5,Vessel_Limit!$B$4:$N$6,COLUMN(Inputs!D$56),FALSE)),1-VLOOKUP($AE$5,Vessel_Limit!$B$4:$N$6,COLUMN(Inputs!D$56),FALSE),100%)</f>
        <v>1</v>
      </c>
      <c r="E57" s="73">
        <f>IF(ISNUMBER(1-VLOOKUP($AE$5,Vessel_Limit!$B$4:$N$6,COLUMN(Inputs!E$56),FALSE)),1-VLOOKUP($AE$5,Vessel_Limit!$B$4:$N$6,COLUMN(Inputs!E$56),FALSE),100%)</f>
        <v>1</v>
      </c>
      <c r="F57" s="73">
        <f>IF(ISNUMBER(1-VLOOKUP($AE$5,Vessel_Limit!$B$4:$N$6,COLUMN(Inputs!F$56),FALSE)),1-VLOOKUP($AE$5,Vessel_Limit!$B$4:$N$6,COLUMN(Inputs!F$56),FALSE),100%)</f>
        <v>1</v>
      </c>
      <c r="G57" s="73">
        <f>IF(ISNUMBER(1-VLOOKUP($AE$5,Vessel_Limit!$B$4:$N$6,COLUMN(Inputs!G$56),FALSE)),1-VLOOKUP($AE$5,Vessel_Limit!$B$4:$N$6,COLUMN(Inputs!G$56),FALSE),100%)</f>
        <v>1</v>
      </c>
      <c r="H57" s="73">
        <f>IF(ISNUMBER(1-VLOOKUP($AE$5,Vessel_Limit!$B$4:$N$6,COLUMN(Inputs!H$56),FALSE)),1-VLOOKUP($AE$5,Vessel_Limit!$B$4:$N$6,COLUMN(Inputs!H$56),FALSE),100%)</f>
        <v>1</v>
      </c>
      <c r="I57" s="73">
        <f>IF(ISNUMBER(1-VLOOKUP($AE$5,Vessel_Limit!$B$4:$N$6,COLUMN(Inputs!I$56),FALSE)),1-VLOOKUP($AE$5,Vessel_Limit!$B$4:$N$6,COLUMN(Inputs!I$56),FALSE),100%)</f>
        <v>1</v>
      </c>
      <c r="J57" s="73">
        <f>IF(ISNUMBER(1-VLOOKUP($AE$5,Vessel_Limit!$B$4:$N$6,COLUMN(Inputs!J$56),FALSE)),1-VLOOKUP($AE$5,Vessel_Limit!$B$4:$N$6,COLUMN(Inputs!J$56),FALSE),100%)</f>
        <v>1</v>
      </c>
      <c r="K57" s="73">
        <f>IF(ISNUMBER(1-VLOOKUP($AE$5,Vessel_Limit!$B$4:$N$6,COLUMN(Inputs!K$56),FALSE)),1-VLOOKUP($AE$5,Vessel_Limit!$B$4:$N$6,COLUMN(Inputs!K$56),FALSE),100%)</f>
        <v>1</v>
      </c>
      <c r="L57" s="73">
        <f>IF(ISNUMBER(1-VLOOKUP($AE$5,Vessel_Limit!$B$4:$N$6,COLUMN(Inputs!L$56),FALSE)),1-VLOOKUP($AE$5,Vessel_Limit!$B$4:$N$6,COLUMN(Inputs!L$56),FALSE),100%)</f>
        <v>1</v>
      </c>
      <c r="M57" s="73">
        <f>IF(ISNUMBER(1-VLOOKUP($AE$5,Vessel_Limit!$B$4:$N$6,COLUMN(Inputs!M$56),FALSE)),1-VLOOKUP($AE$5,Vessel_Limit!$B$4:$N$6,COLUMN(Inputs!M$56),FALSE),100%)</f>
        <v>1</v>
      </c>
      <c r="O57" s="147">
        <v>10000</v>
      </c>
      <c r="R57">
        <f>O57*0.25</f>
        <v>2500</v>
      </c>
      <c r="T57">
        <f>O57*0.2</f>
        <v>2000</v>
      </c>
    </row>
    <row r="58" spans="1:20" x14ac:dyDescent="0.3">
      <c r="A58" s="81" t="s">
        <v>42</v>
      </c>
      <c r="B58" s="74">
        <f>IF(ISNUMBER(1-VLOOKUP($AE$15,Vessel_Limit!$B$27:$N$29,COLUMN(Inputs!B$56),FALSE)),1-VLOOKUP($AE$15,Vessel_Limit!$B$27:$N$29,COLUMN(Inputs!B$56),FALSE),100%)</f>
        <v>1</v>
      </c>
      <c r="C58" s="74">
        <f>IF(ISNUMBER(1-VLOOKUP($AE$15,Vessel_Limit!$B$27:$N$29,COLUMN(Inputs!C$56),FALSE)),1-VLOOKUP($AE$15,Vessel_Limit!$B$27:$N$29,COLUMN(Inputs!C$56),FALSE),100%)</f>
        <v>1</v>
      </c>
      <c r="D58" s="74">
        <f>IF(ISNUMBER(1-VLOOKUP($AE$15,Vessel_Limit!$B$27:$N$29,COLUMN(Inputs!D$56),FALSE)),1-VLOOKUP($AE$15,Vessel_Limit!$B$27:$N$29,COLUMN(Inputs!D$56),FALSE),100%)</f>
        <v>1</v>
      </c>
      <c r="E58" s="74">
        <f>IF(ISNUMBER(1-VLOOKUP($AE$15,Vessel_Limit!$B$27:$N$29,COLUMN(Inputs!E$56),FALSE)),1-VLOOKUP($AE$15,Vessel_Limit!$B$27:$N$29,COLUMN(Inputs!E$56),FALSE),100%)</f>
        <v>1</v>
      </c>
      <c r="F58" s="74">
        <f>IF(ISNUMBER(1-VLOOKUP($AE$15,Vessel_Limit!$B$27:$N$29,COLUMN(Inputs!F$56),FALSE)),1-VLOOKUP($AE$15,Vessel_Limit!$B$27:$N$29,COLUMN(Inputs!F$56),FALSE),100%)</f>
        <v>1</v>
      </c>
      <c r="G58" s="74">
        <f>IF(ISNUMBER(1-VLOOKUP($AE$15,Vessel_Limit!$B$27:$N$29,COLUMN(Inputs!G$56),FALSE)),1-VLOOKUP($AE$15,Vessel_Limit!$B$27:$N$29,COLUMN(Inputs!G$56),FALSE),100%)</f>
        <v>1</v>
      </c>
      <c r="H58" s="74">
        <f>IF(ISNUMBER(1-VLOOKUP($AE$15,Vessel_Limit!$B$27:$N$29,COLUMN(Inputs!H$56),FALSE)),1-VLOOKUP($AE$15,Vessel_Limit!$B$27:$N$29,COLUMN(Inputs!H$56),FALSE),100%)</f>
        <v>1</v>
      </c>
      <c r="I58" s="74">
        <f>IF(ISNUMBER(1-VLOOKUP($AE$15,Vessel_Limit!$B$27:$N$29,COLUMN(Inputs!I$56),FALSE)),1-VLOOKUP($AE$15,Vessel_Limit!$B$27:$N$29,COLUMN(Inputs!I$56),FALSE),100%)</f>
        <v>1</v>
      </c>
      <c r="J58" s="74">
        <f>IF(ISNUMBER(1-VLOOKUP($AE$15,Vessel_Limit!$B$27:$N$29,COLUMN(Inputs!J$56),FALSE)),1-VLOOKUP($AE$15,Vessel_Limit!$B$27:$N$29,COLUMN(Inputs!J$56),FALSE),100%)</f>
        <v>1</v>
      </c>
      <c r="K58" s="74">
        <f>IF(ISNUMBER(1-VLOOKUP($AE$15,Vessel_Limit!$B$27:$N$29,COLUMN(Inputs!K$56),FALSE)),1-VLOOKUP($AE$15,Vessel_Limit!$B$27:$N$29,COLUMN(Inputs!K$56),FALSE),100%)</f>
        <v>1</v>
      </c>
      <c r="L58" s="74">
        <f>IF(ISNUMBER(1-VLOOKUP($AE$15,Vessel_Limit!$B$27:$N$29,COLUMN(Inputs!L$56),FALSE)),1-VLOOKUP($AE$15,Vessel_Limit!$B$27:$N$29,COLUMN(Inputs!L$56),FALSE),100%)</f>
        <v>1</v>
      </c>
      <c r="M58" s="74">
        <f>IF(ISNUMBER(1-VLOOKUP($AE$15,Vessel_Limit!$B$27:$N$29,COLUMN(Inputs!M$56),FALSE)),1-VLOOKUP($AE$15,Vessel_Limit!$B$27:$N$29,COLUMN(Inputs!M$56),FALSE),100%)</f>
        <v>1</v>
      </c>
      <c r="T58">
        <f>O57*0.25</f>
        <v>2500</v>
      </c>
    </row>
    <row r="59" spans="1:20" ht="15" thickBot="1" x14ac:dyDescent="0.35">
      <c r="A59" s="85" t="s">
        <v>16</v>
      </c>
      <c r="B59" s="78">
        <f>IF(ISNUMBER(1-VLOOKUP($AE$10,Vessel_Limit!$B$50:$N$52,COLUMN(Inputs!B$56),FALSE)),1-VLOOKUP($AE$10,Vessel_Limit!$B$50:$N$52,COLUMN(Inputs!B$56),FALSE),100%)</f>
        <v>1</v>
      </c>
      <c r="C59" s="78">
        <f>IF(ISNUMBER(1-VLOOKUP($AE$10,Vessel_Limit!$B$50:$N$52,COLUMN(Inputs!C$56),FALSE)),1-VLOOKUP($AE$10,Vessel_Limit!$B$50:$N$52,COLUMN(Inputs!C$56),FALSE),100%)</f>
        <v>1</v>
      </c>
      <c r="D59" s="78">
        <f>IF(ISNUMBER(1-VLOOKUP($AE$10,Vessel_Limit!$B$50:$N$52,COLUMN(Inputs!D$56),FALSE)),1-VLOOKUP($AE$10,Vessel_Limit!$B$50:$N$52,COLUMN(Inputs!D$56),FALSE),100%)</f>
        <v>1</v>
      </c>
      <c r="E59" s="78">
        <f>IF(ISNUMBER(1-VLOOKUP($AE$10,Vessel_Limit!$B$50:$N$52,COLUMN(Inputs!E$56),FALSE)),1-VLOOKUP($AE$10,Vessel_Limit!$B$50:$N$52,COLUMN(Inputs!E$56),FALSE),100%)</f>
        <v>1</v>
      </c>
      <c r="F59" s="78">
        <f>IF(ISNUMBER(1-VLOOKUP($AE$10,Vessel_Limit!$B$50:$N$52,COLUMN(Inputs!F$56),FALSE)),1-VLOOKUP($AE$10,Vessel_Limit!$B$50:$N$52,COLUMN(Inputs!F$56),FALSE),100%)</f>
        <v>1</v>
      </c>
      <c r="G59" s="78">
        <f>IF(ISNUMBER(1-VLOOKUP($AE$10,Vessel_Limit!$B$50:$N$52,COLUMN(Inputs!G$56),FALSE)),1-VLOOKUP($AE$10,Vessel_Limit!$B$50:$N$52,COLUMN(Inputs!G$56),FALSE),100%)</f>
        <v>1</v>
      </c>
      <c r="H59" s="78">
        <f>IF(ISNUMBER(1-VLOOKUP($AE$10,Vessel_Limit!$B$50:$N$52,COLUMN(Inputs!H$56),FALSE)),1-VLOOKUP($AE$10,Vessel_Limit!$B$50:$N$52,COLUMN(Inputs!H$56),FALSE),100%)</f>
        <v>1</v>
      </c>
      <c r="I59" s="78">
        <f>IF(ISNUMBER(1-VLOOKUP($AE$10,Vessel_Limit!$B$50:$N$52,COLUMN(Inputs!I$56),FALSE)),1-VLOOKUP($AE$10,Vessel_Limit!$B$50:$N$52,COLUMN(Inputs!I$56),FALSE),100%)</f>
        <v>1</v>
      </c>
      <c r="J59" s="78">
        <f>IF(ISNUMBER(1-VLOOKUP($AE$10,Vessel_Limit!$B$50:$N$52,COLUMN(Inputs!J$56),FALSE)),1-VLOOKUP($AE$10,Vessel_Limit!$B$50:$N$52,COLUMN(Inputs!J$56),FALSE),100%)</f>
        <v>1</v>
      </c>
      <c r="K59" s="78">
        <f>IF(ISNUMBER(1-VLOOKUP($AE$10,Vessel_Limit!$B$50:$N$52,COLUMN(Inputs!K$56),FALSE)),1-VLOOKUP($AE$10,Vessel_Limit!$B$50:$N$52,COLUMN(Inputs!K$56),FALSE),100%)</f>
        <v>1</v>
      </c>
      <c r="L59" s="78">
        <f>IF(ISNUMBER(1-VLOOKUP($AE$10,Vessel_Limit!$B$50:$N$52,COLUMN(Inputs!L$56),FALSE)),1-VLOOKUP($AE$10,Vessel_Limit!$B$50:$N$52,COLUMN(Inputs!L$56),FALSE),100%)</f>
        <v>1</v>
      </c>
      <c r="M59" s="78">
        <f>IF(ISNUMBER(1-VLOOKUP($AE$10,Vessel_Limit!$B$50:$N$52,COLUMN(Inputs!M$56),FALSE)),1-VLOOKUP($AE$10,Vessel_Limit!$B$50:$N$52,COLUMN(Inputs!M$56),FALSE),100%)</f>
        <v>1</v>
      </c>
      <c r="R59">
        <f>O57*(1-0.8)</f>
        <v>1999.9999999999995</v>
      </c>
      <c r="T59">
        <f>O57*0.45</f>
        <v>4500</v>
      </c>
    </row>
    <row r="60" spans="1:20" x14ac:dyDescent="0.3">
      <c r="R60">
        <f>1000*(1-0.95)</f>
        <v>50.000000000000043</v>
      </c>
    </row>
  </sheetData>
  <mergeCells count="1">
    <mergeCell ref="S8:W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N7"/>
  <sheetViews>
    <sheetView workbookViewId="0">
      <selection activeCell="B2" sqref="B2"/>
    </sheetView>
  </sheetViews>
  <sheetFormatPr defaultRowHeight="14.4" x14ac:dyDescent="0.3"/>
  <cols>
    <col min="1" max="1" width="23.21875" style="147" customWidth="1"/>
    <col min="2" max="2" width="12.33203125" style="195" customWidth="1"/>
    <col min="3" max="3" width="17.44140625" bestFit="1" customWidth="1"/>
    <col min="4" max="6" width="18.44140625" bestFit="1" customWidth="1"/>
    <col min="7" max="14" width="19.44140625" bestFit="1" customWidth="1"/>
  </cols>
  <sheetData>
    <row r="1" spans="1:14" x14ac:dyDescent="0.3">
      <c r="A1" s="112" t="s">
        <v>82</v>
      </c>
      <c r="B1" s="112"/>
      <c r="C1" s="376" t="str">
        <f>Model!G34</f>
        <v>Jan</v>
      </c>
      <c r="D1" s="376" t="str">
        <f>Model!H34</f>
        <v>Feb</v>
      </c>
      <c r="E1" s="376" t="str">
        <f>Model!I34</f>
        <v>Mar</v>
      </c>
      <c r="F1" s="376" t="str">
        <f>Model!J34</f>
        <v>Apr</v>
      </c>
      <c r="G1" s="376" t="str">
        <f>Model!K34</f>
        <v>May</v>
      </c>
      <c r="H1" s="376" t="str">
        <f>Model!L34</f>
        <v>Jun</v>
      </c>
      <c r="I1" s="376" t="str">
        <f>Model!M34</f>
        <v>Jul</v>
      </c>
      <c r="J1" s="376" t="str">
        <f>Model!N34</f>
        <v>Aug</v>
      </c>
      <c r="K1" s="376" t="str">
        <f>Model!O34</f>
        <v>Sep</v>
      </c>
      <c r="L1" s="376" t="str">
        <f>Model!P34</f>
        <v>Oct</v>
      </c>
      <c r="M1" s="376" t="str">
        <f>Model!Q34</f>
        <v>Nov</v>
      </c>
      <c r="N1" s="376" t="str">
        <f>Model!R34</f>
        <v>Dec</v>
      </c>
    </row>
    <row r="2" spans="1:14" x14ac:dyDescent="0.3">
      <c r="A2" s="112" t="s">
        <v>83</v>
      </c>
      <c r="B2" s="112">
        <v>0</v>
      </c>
      <c r="C2" s="112">
        <f>SUM(Model!$G35:'Model'!G35)</f>
        <v>0</v>
      </c>
      <c r="D2" s="112">
        <f>SUM(Model!$G35:'Model'!H35)</f>
        <v>0</v>
      </c>
      <c r="E2" s="112">
        <f>SUM(Model!$G35:'Model'!I35)</f>
        <v>0</v>
      </c>
      <c r="F2" s="112">
        <f>SUM(Model!$G35:'Model'!J35)</f>
        <v>0</v>
      </c>
      <c r="G2" s="112">
        <f>SUM(Model!$G35:'Model'!K35)</f>
        <v>6737.5990000000002</v>
      </c>
      <c r="H2" s="112">
        <f>SUM(Model!$G35:'Model'!L35)</f>
        <v>13257.855599999999</v>
      </c>
      <c r="I2" s="112">
        <f>SUM(Model!$G35:'Model'!M35)</f>
        <v>20659.251199999999</v>
      </c>
      <c r="J2" s="112">
        <f>SUM(Model!$G35:'Model'!N35)</f>
        <v>28060.646799999999</v>
      </c>
      <c r="K2" s="112">
        <f>SUM(Model!$G35:'Model'!O35)</f>
        <v>28874.129799999999</v>
      </c>
      <c r="L2" s="112">
        <f>SUM(Model!$G35:'Model'!P35)</f>
        <v>29714.728999999999</v>
      </c>
      <c r="M2" s="112">
        <f>SUM(Model!$G35:'Model'!Q35)</f>
        <v>29925.8655</v>
      </c>
      <c r="N2" s="112">
        <f>SUM(Model!$G35:'Model'!R35)</f>
        <v>30144.04</v>
      </c>
    </row>
    <row r="3" spans="1:14" x14ac:dyDescent="0.3">
      <c r="A3" s="112" t="s">
        <v>355</v>
      </c>
      <c r="B3" s="112">
        <f>Model!$F$51</f>
        <v>23678.322499999998</v>
      </c>
      <c r="C3" s="112">
        <f>Model!$F$51</f>
        <v>23678.322499999998</v>
      </c>
      <c r="D3" s="112">
        <f>Model!$F$51</f>
        <v>23678.322499999998</v>
      </c>
      <c r="E3" s="112">
        <f>Model!$F$51</f>
        <v>23678.322499999998</v>
      </c>
      <c r="F3" s="112">
        <f>Model!$F$51</f>
        <v>23678.322499999998</v>
      </c>
      <c r="G3" s="112">
        <f>Model!$F$51</f>
        <v>23678.322499999998</v>
      </c>
      <c r="H3" s="112">
        <f>Model!$F$51</f>
        <v>23678.322499999998</v>
      </c>
      <c r="I3" s="112">
        <f>Model!$F$51</f>
        <v>23678.322499999998</v>
      </c>
      <c r="J3" s="112">
        <f>Model!$F$51</f>
        <v>23678.322499999998</v>
      </c>
      <c r="K3" s="112">
        <f>Model!$F$51</f>
        <v>23678.322499999998</v>
      </c>
      <c r="L3" s="112">
        <f>Model!$F$51</f>
        <v>23678.322499999998</v>
      </c>
      <c r="M3" s="112">
        <f>Model!$F$51</f>
        <v>23678.322499999998</v>
      </c>
      <c r="N3" s="112">
        <f>Model!$F$51</f>
        <v>23678.322499999998</v>
      </c>
    </row>
    <row r="4" spans="1:14" x14ac:dyDescent="0.3">
      <c r="A4" s="112" t="s">
        <v>211</v>
      </c>
      <c r="B4" s="112">
        <f>Model!$G$51</f>
        <v>26052.648000000005</v>
      </c>
      <c r="C4" s="112">
        <f>Model!$G$51</f>
        <v>26052.648000000005</v>
      </c>
      <c r="D4" s="112">
        <f>Model!$G$51</f>
        <v>26052.648000000005</v>
      </c>
      <c r="E4" s="112">
        <f>Model!$G$51</f>
        <v>26052.648000000005</v>
      </c>
      <c r="F4" s="112">
        <f>Model!$G$51</f>
        <v>26052.648000000005</v>
      </c>
      <c r="G4" s="112">
        <f>Model!$G$51</f>
        <v>26052.648000000005</v>
      </c>
      <c r="H4" s="112">
        <f>Model!$G$51</f>
        <v>26052.648000000005</v>
      </c>
      <c r="I4" s="112">
        <f>Model!$G$51</f>
        <v>26052.648000000005</v>
      </c>
      <c r="J4" s="112">
        <f>Model!$G$51</f>
        <v>26052.648000000005</v>
      </c>
      <c r="K4" s="112">
        <f>Model!$G$51</f>
        <v>26052.648000000005</v>
      </c>
      <c r="L4" s="112">
        <f>Model!$G$51</f>
        <v>26052.648000000005</v>
      </c>
      <c r="M4" s="112">
        <f>Model!$G$51</f>
        <v>26052.648000000005</v>
      </c>
      <c r="N4" s="112">
        <f>Model!$G$51</f>
        <v>26052.648000000005</v>
      </c>
    </row>
    <row r="5" spans="1:14" x14ac:dyDescent="0.3">
      <c r="A5" s="112" t="s">
        <v>356</v>
      </c>
      <c r="B5" s="112">
        <f>Model!$H$51</f>
        <v>27478.056499999995</v>
      </c>
      <c r="C5" s="112">
        <f>Model!$H$51</f>
        <v>27478.056499999995</v>
      </c>
      <c r="D5" s="112">
        <f>Model!$H$51</f>
        <v>27478.056499999995</v>
      </c>
      <c r="E5" s="112">
        <f>Model!$H$51</f>
        <v>27478.056499999995</v>
      </c>
      <c r="F5" s="112">
        <f>Model!$H$51</f>
        <v>27478.056499999995</v>
      </c>
      <c r="G5" s="112">
        <f>Model!$H$51</f>
        <v>27478.056499999995</v>
      </c>
      <c r="H5" s="112">
        <f>Model!$H$51</f>
        <v>27478.056499999995</v>
      </c>
      <c r="I5" s="112">
        <f>Model!$H$51</f>
        <v>27478.056499999995</v>
      </c>
      <c r="J5" s="112">
        <f>Model!$H$51</f>
        <v>27478.056499999995</v>
      </c>
      <c r="K5" s="112">
        <f>Model!$H$51</f>
        <v>27478.056499999995</v>
      </c>
      <c r="L5" s="112">
        <f>Model!$H$51</f>
        <v>27478.056499999995</v>
      </c>
      <c r="M5" s="112">
        <f>Model!$H$51</f>
        <v>27478.056499999995</v>
      </c>
      <c r="N5" s="112">
        <f>Model!$H$51</f>
        <v>27478.056499999995</v>
      </c>
    </row>
    <row r="6" spans="1:14" x14ac:dyDescent="0.3">
      <c r="A6" s="112" t="s">
        <v>188</v>
      </c>
      <c r="B6" s="112">
        <f>Model!$R$51</f>
        <v>25000</v>
      </c>
      <c r="C6" s="112">
        <f>Model!$R$51</f>
        <v>25000</v>
      </c>
      <c r="D6" s="112">
        <f>Model!$R$51</f>
        <v>25000</v>
      </c>
      <c r="E6" s="112">
        <f>Model!$R$51</f>
        <v>25000</v>
      </c>
      <c r="F6" s="112">
        <f>Model!$R$51</f>
        <v>25000</v>
      </c>
      <c r="G6" s="112">
        <f>Model!$R$51</f>
        <v>25000</v>
      </c>
      <c r="H6" s="112">
        <f>Model!$R$51</f>
        <v>25000</v>
      </c>
      <c r="I6" s="112">
        <f>Model!$R$51</f>
        <v>25000</v>
      </c>
      <c r="J6" s="112">
        <f>Model!$R$51</f>
        <v>25000</v>
      </c>
      <c r="K6" s="112">
        <f>Model!$R$51</f>
        <v>25000</v>
      </c>
      <c r="L6" s="112">
        <f>Model!$R$51</f>
        <v>25000</v>
      </c>
      <c r="M6" s="112">
        <f>Model!$R$51</f>
        <v>25000</v>
      </c>
      <c r="N6" s="112">
        <f>Model!$R$51</f>
        <v>25000</v>
      </c>
    </row>
    <row r="7" spans="1:14" x14ac:dyDescent="0.3">
      <c r="A7" s="112"/>
      <c r="B7" s="144"/>
      <c r="C7" s="144"/>
      <c r="D7" s="144"/>
      <c r="E7" s="144"/>
      <c r="F7" s="144"/>
      <c r="G7" s="144"/>
      <c r="H7" s="144"/>
      <c r="I7" s="144"/>
      <c r="J7" s="144"/>
      <c r="K7" s="144"/>
      <c r="L7" s="144"/>
      <c r="M7" s="144"/>
      <c r="N7" s="1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B19"/>
  <sheetViews>
    <sheetView workbookViewId="0">
      <selection activeCell="A6" sqref="A6:A11"/>
    </sheetView>
  </sheetViews>
  <sheetFormatPr defaultRowHeight="14.4" x14ac:dyDescent="0.3"/>
  <cols>
    <col min="1" max="1" width="3.6640625" style="195" customWidth="1"/>
    <col min="2" max="2" width="123.33203125" customWidth="1"/>
  </cols>
  <sheetData>
    <row r="1" spans="1:2" ht="15" thickBot="1" x14ac:dyDescent="0.35">
      <c r="A1" s="596" t="s">
        <v>391</v>
      </c>
      <c r="B1" s="597"/>
    </row>
    <row r="2" spans="1:2" x14ac:dyDescent="0.3">
      <c r="A2" s="511">
        <v>1</v>
      </c>
      <c r="B2" s="327" t="s">
        <v>381</v>
      </c>
    </row>
    <row r="3" spans="1:2" x14ac:dyDescent="0.3">
      <c r="A3" s="511">
        <v>2</v>
      </c>
      <c r="B3" s="510" t="s">
        <v>384</v>
      </c>
    </row>
    <row r="4" spans="1:2" x14ac:dyDescent="0.3">
      <c r="A4" s="511">
        <v>3</v>
      </c>
      <c r="B4" s="510" t="s">
        <v>383</v>
      </c>
    </row>
    <row r="5" spans="1:2" x14ac:dyDescent="0.3">
      <c r="A5" s="511">
        <v>4</v>
      </c>
      <c r="B5" s="510" t="s">
        <v>385</v>
      </c>
    </row>
    <row r="6" spans="1:2" ht="28.8" x14ac:dyDescent="0.3">
      <c r="A6" s="511">
        <v>5</v>
      </c>
      <c r="B6" s="510" t="s">
        <v>386</v>
      </c>
    </row>
    <row r="7" spans="1:2" x14ac:dyDescent="0.3">
      <c r="A7" s="511">
        <v>6</v>
      </c>
      <c r="B7" s="510" t="s">
        <v>387</v>
      </c>
    </row>
    <row r="8" spans="1:2" ht="28.8" x14ac:dyDescent="0.3">
      <c r="A8" s="511">
        <v>7</v>
      </c>
      <c r="B8" s="510" t="s">
        <v>388</v>
      </c>
    </row>
    <row r="9" spans="1:2" s="195" customFormat="1" x14ac:dyDescent="0.3">
      <c r="A9" s="511">
        <v>8</v>
      </c>
      <c r="B9" s="510" t="s">
        <v>392</v>
      </c>
    </row>
    <row r="10" spans="1:2" ht="28.8" x14ac:dyDescent="0.3">
      <c r="A10" s="511">
        <v>9</v>
      </c>
      <c r="B10" s="510" t="s">
        <v>389</v>
      </c>
    </row>
    <row r="11" spans="1:2" ht="43.2" x14ac:dyDescent="0.3">
      <c r="A11" s="511">
        <v>10</v>
      </c>
      <c r="B11" s="510" t="s">
        <v>390</v>
      </c>
    </row>
    <row r="12" spans="1:2" x14ac:dyDescent="0.3">
      <c r="B12" s="195"/>
    </row>
    <row r="13" spans="1:2" x14ac:dyDescent="0.3">
      <c r="B13" s="195"/>
    </row>
    <row r="14" spans="1:2" x14ac:dyDescent="0.3">
      <c r="B14" s="195"/>
    </row>
    <row r="15" spans="1:2" x14ac:dyDescent="0.3">
      <c r="B15" s="195"/>
    </row>
    <row r="16" spans="1:2" x14ac:dyDescent="0.3">
      <c r="B16" s="195"/>
    </row>
    <row r="17" spans="2:2" x14ac:dyDescent="0.3">
      <c r="B17" s="195"/>
    </row>
    <row r="18" spans="2:2" x14ac:dyDescent="0.3">
      <c r="B18" s="195"/>
    </row>
    <row r="19" spans="2:2" x14ac:dyDescent="0.3">
      <c r="B19" s="275"/>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39997558519241921"/>
  </sheetPr>
  <dimension ref="A1:W22"/>
  <sheetViews>
    <sheetView workbookViewId="0">
      <selection activeCell="F4" sqref="F4"/>
    </sheetView>
  </sheetViews>
  <sheetFormatPr defaultRowHeight="14.4" x14ac:dyDescent="0.3"/>
  <cols>
    <col min="2" max="2" width="11.109375" bestFit="1" customWidth="1"/>
    <col min="3" max="3" width="11.109375" style="195" customWidth="1"/>
    <col min="4" max="4" width="11.21875" bestFit="1" customWidth="1"/>
    <col min="5" max="5" width="11.21875" style="195" customWidth="1"/>
    <col min="6" max="6" width="11.21875" bestFit="1" customWidth="1"/>
    <col min="11" max="11" width="17.5546875" customWidth="1"/>
    <col min="12" max="12" width="13.5546875" customWidth="1"/>
    <col min="13" max="13" width="11.21875" customWidth="1"/>
    <col min="15" max="15" width="10.109375" bestFit="1" customWidth="1"/>
  </cols>
  <sheetData>
    <row r="1" spans="1:23" x14ac:dyDescent="0.3">
      <c r="A1" t="s">
        <v>319</v>
      </c>
      <c r="R1" t="s">
        <v>368</v>
      </c>
      <c r="U1" s="195" t="s">
        <v>368</v>
      </c>
    </row>
    <row r="2" spans="1:23" x14ac:dyDescent="0.3">
      <c r="A2" s="343" t="s">
        <v>320</v>
      </c>
      <c r="B2" s="344"/>
      <c r="C2" s="344"/>
      <c r="D2" s="344"/>
      <c r="E2" s="344"/>
      <c r="F2" s="344"/>
      <c r="G2" s="345"/>
      <c r="K2" t="s">
        <v>322</v>
      </c>
      <c r="L2" t="s">
        <v>371</v>
      </c>
      <c r="M2" t="s">
        <v>372</v>
      </c>
      <c r="R2" s="417" t="s">
        <v>233</v>
      </c>
      <c r="U2" s="417" t="s">
        <v>233</v>
      </c>
    </row>
    <row r="3" spans="1:23" ht="15" thickBot="1" x14ac:dyDescent="0.35">
      <c r="A3" s="343"/>
      <c r="B3" s="353">
        <v>2025</v>
      </c>
      <c r="C3" s="346">
        <v>2026</v>
      </c>
      <c r="D3" s="346">
        <v>2027</v>
      </c>
      <c r="E3" s="346">
        <v>2028</v>
      </c>
      <c r="F3" s="346">
        <v>2029</v>
      </c>
      <c r="G3" s="347"/>
      <c r="K3">
        <v>67450</v>
      </c>
      <c r="L3" s="144">
        <f>K3*T5</f>
        <v>23678.322499999998</v>
      </c>
      <c r="M3" s="144">
        <f>K3*W5</f>
        <v>24689.398000000001</v>
      </c>
      <c r="O3">
        <f>L3*$K3</f>
        <v>1597102852.625</v>
      </c>
      <c r="R3" s="418" t="s">
        <v>367</v>
      </c>
      <c r="U3" s="418" t="s">
        <v>367</v>
      </c>
    </row>
    <row r="4" spans="1:23" x14ac:dyDescent="0.3">
      <c r="A4" s="348">
        <v>1</v>
      </c>
      <c r="B4" s="358">
        <v>0</v>
      </c>
      <c r="C4" s="427">
        <v>0</v>
      </c>
      <c r="D4" s="359">
        <v>0</v>
      </c>
      <c r="E4" s="359">
        <v>0</v>
      </c>
      <c r="F4" s="359">
        <v>0</v>
      </c>
      <c r="G4" s="39"/>
      <c r="I4" s="367"/>
      <c r="K4">
        <v>72200</v>
      </c>
      <c r="L4" s="144">
        <f t="shared" ref="L4:L7" si="0">K4*T6</f>
        <v>26052.648000000005</v>
      </c>
      <c r="M4" s="144">
        <f t="shared" ref="M4:M7" si="1">K4*W6</f>
        <v>27064.891999999996</v>
      </c>
      <c r="O4" s="195">
        <f t="shared" ref="O4:O7" si="2">L4*$K4</f>
        <v>1881001185.6000004</v>
      </c>
      <c r="R4" s="419"/>
      <c r="S4" s="419" t="s">
        <v>369</v>
      </c>
      <c r="T4" t="s">
        <v>370</v>
      </c>
      <c r="U4" s="419"/>
      <c r="V4" s="419" t="s">
        <v>369</v>
      </c>
      <c r="W4" s="489" t="s">
        <v>370</v>
      </c>
    </row>
    <row r="5" spans="1:23" ht="15" thickBot="1" x14ac:dyDescent="0.35">
      <c r="A5" s="349"/>
      <c r="B5" s="360"/>
      <c r="C5" s="428"/>
      <c r="D5" s="361"/>
      <c r="E5" s="361"/>
      <c r="F5" s="361"/>
      <c r="G5" s="350"/>
      <c r="I5" s="368"/>
      <c r="K5">
        <v>75050</v>
      </c>
      <c r="L5" s="144">
        <f t="shared" si="0"/>
        <v>27478.056499999995</v>
      </c>
      <c r="M5" s="144">
        <f t="shared" si="1"/>
        <v>28489.730500000001</v>
      </c>
      <c r="O5" s="195">
        <f t="shared" si="2"/>
        <v>2062228140.3249996</v>
      </c>
      <c r="R5" s="420">
        <v>1</v>
      </c>
      <c r="S5" s="422">
        <v>0.64895000000000003</v>
      </c>
      <c r="T5">
        <f>1-S5</f>
        <v>0.35104999999999997</v>
      </c>
      <c r="U5" s="420">
        <v>1</v>
      </c>
      <c r="V5" s="422">
        <v>0.63395999999999997</v>
      </c>
      <c r="W5" s="195">
        <f>1-V5</f>
        <v>0.36604000000000003</v>
      </c>
    </row>
    <row r="6" spans="1:23" ht="15" thickBot="1" x14ac:dyDescent="0.35">
      <c r="A6" s="351"/>
      <c r="B6" s="362"/>
      <c r="C6" s="429"/>
      <c r="D6" s="363"/>
      <c r="E6" s="363"/>
      <c r="F6" s="363"/>
      <c r="G6" s="352"/>
      <c r="K6">
        <v>77900</v>
      </c>
      <c r="L6" s="144">
        <f t="shared" si="0"/>
        <v>28903.236999999997</v>
      </c>
      <c r="M6" s="144">
        <f t="shared" si="1"/>
        <v>29914.378999999997</v>
      </c>
      <c r="O6" s="195">
        <f t="shared" si="2"/>
        <v>2251562162.2999997</v>
      </c>
      <c r="R6" s="420">
        <v>2</v>
      </c>
      <c r="S6" s="422">
        <v>0.63915999999999995</v>
      </c>
      <c r="T6" s="195">
        <f t="shared" ref="T6:T9" si="3">1-S6</f>
        <v>0.36084000000000005</v>
      </c>
      <c r="U6" s="420">
        <v>2</v>
      </c>
      <c r="V6" s="422">
        <v>0.62514000000000003</v>
      </c>
      <c r="W6" s="195">
        <f t="shared" ref="W6:W9" si="4">1-V6</f>
        <v>0.37485999999999997</v>
      </c>
    </row>
    <row r="7" spans="1:23" ht="15" thickBot="1" x14ac:dyDescent="0.35">
      <c r="A7" s="343" t="s">
        <v>320</v>
      </c>
      <c r="B7" s="344"/>
      <c r="C7" s="344"/>
      <c r="D7" s="344"/>
      <c r="E7" s="344"/>
      <c r="F7" s="344"/>
      <c r="G7" s="345"/>
      <c r="K7">
        <v>79800</v>
      </c>
      <c r="L7" s="144">
        <f t="shared" si="0"/>
        <v>29853.18</v>
      </c>
      <c r="M7" s="144">
        <f t="shared" si="1"/>
        <v>30864.245999999996</v>
      </c>
      <c r="O7" s="195">
        <f t="shared" si="2"/>
        <v>2382283764</v>
      </c>
      <c r="R7" s="420">
        <v>3</v>
      </c>
      <c r="S7" s="422">
        <v>0.63387000000000004</v>
      </c>
      <c r="T7" s="195">
        <f t="shared" si="3"/>
        <v>0.36612999999999996</v>
      </c>
      <c r="U7" s="420">
        <v>3</v>
      </c>
      <c r="V7" s="422">
        <v>0.62039</v>
      </c>
      <c r="W7" s="195">
        <f t="shared" si="4"/>
        <v>0.37961</v>
      </c>
    </row>
    <row r="8" spans="1:23" ht="15" thickBot="1" x14ac:dyDescent="0.35">
      <c r="A8" s="348">
        <v>2</v>
      </c>
      <c r="B8" s="144">
        <v>23678.322499999998</v>
      </c>
      <c r="C8" s="144">
        <v>26052.648000000005</v>
      </c>
      <c r="D8" s="144">
        <v>27478.056499999995</v>
      </c>
      <c r="E8" s="144">
        <v>28903.236999999997</v>
      </c>
      <c r="F8" s="144">
        <v>29853.18</v>
      </c>
      <c r="G8" s="354"/>
      <c r="R8" s="420">
        <v>4</v>
      </c>
      <c r="S8" s="422">
        <v>0.62897000000000003</v>
      </c>
      <c r="T8" s="195">
        <f t="shared" si="3"/>
        <v>0.37102999999999997</v>
      </c>
      <c r="U8" s="420">
        <v>4</v>
      </c>
      <c r="V8" s="422">
        <v>0.61599000000000004</v>
      </c>
      <c r="W8" s="195">
        <f t="shared" si="4"/>
        <v>0.38400999999999996</v>
      </c>
    </row>
    <row r="9" spans="1:23" ht="15" thickBot="1" x14ac:dyDescent="0.35">
      <c r="A9" s="357" t="s">
        <v>191</v>
      </c>
      <c r="B9" s="357" t="s">
        <v>191</v>
      </c>
      <c r="C9" s="357"/>
      <c r="D9" s="357" t="s">
        <v>191</v>
      </c>
      <c r="E9" s="357"/>
      <c r="F9" s="357" t="s">
        <v>191</v>
      </c>
      <c r="G9" s="354"/>
      <c r="L9" t="s">
        <v>323</v>
      </c>
      <c r="M9" t="s">
        <v>324</v>
      </c>
      <c r="R9" s="420">
        <v>5</v>
      </c>
      <c r="S9" s="422">
        <v>0.62590000000000001</v>
      </c>
      <c r="T9" s="195">
        <f t="shared" si="3"/>
        <v>0.37409999999999999</v>
      </c>
      <c r="U9" s="420">
        <v>5</v>
      </c>
      <c r="V9" s="422">
        <v>0.61323000000000005</v>
      </c>
      <c r="W9" s="195">
        <f t="shared" si="4"/>
        <v>0.38676999999999995</v>
      </c>
    </row>
    <row r="10" spans="1:23" x14ac:dyDescent="0.3">
      <c r="A10" s="357" t="s">
        <v>191</v>
      </c>
      <c r="B10" s="357" t="s">
        <v>191</v>
      </c>
      <c r="C10" s="357"/>
      <c r="D10" s="357" t="s">
        <v>191</v>
      </c>
      <c r="E10" s="357"/>
      <c r="F10" s="357" t="s">
        <v>191</v>
      </c>
      <c r="G10" s="354"/>
      <c r="L10" s="144">
        <v>23678.322499999998</v>
      </c>
      <c r="M10" s="144">
        <v>24689.398000000001</v>
      </c>
    </row>
    <row r="11" spans="1:23" x14ac:dyDescent="0.3">
      <c r="A11" s="343" t="s">
        <v>321</v>
      </c>
      <c r="B11" s="344"/>
      <c r="C11" s="344"/>
      <c r="D11" s="344"/>
      <c r="E11" s="344"/>
      <c r="F11" s="344"/>
      <c r="G11" s="345"/>
      <c r="L11" s="144">
        <v>26052.648000000005</v>
      </c>
      <c r="M11" s="144">
        <v>27064.891999999996</v>
      </c>
    </row>
    <row r="12" spans="1:23" s="147" customFormat="1" x14ac:dyDescent="0.3">
      <c r="A12" s="357">
        <v>3</v>
      </c>
      <c r="B12" s="144">
        <v>24689.398000000001</v>
      </c>
      <c r="C12" s="144">
        <v>27064.891999999996</v>
      </c>
      <c r="D12" s="144">
        <v>28489.730500000001</v>
      </c>
      <c r="E12" s="144">
        <v>29914.378999999997</v>
      </c>
      <c r="F12" s="144">
        <v>30864.245999999996</v>
      </c>
      <c r="G12" s="355"/>
      <c r="L12" s="144">
        <v>27478.056499999995</v>
      </c>
      <c r="M12" s="144">
        <v>28489.730500000001</v>
      </c>
    </row>
    <row r="13" spans="1:23" s="147" customFormat="1" x14ac:dyDescent="0.3">
      <c r="A13" s="357" t="s">
        <v>191</v>
      </c>
      <c r="B13" s="357" t="s">
        <v>191</v>
      </c>
      <c r="C13" s="357"/>
      <c r="D13" s="357" t="s">
        <v>191</v>
      </c>
      <c r="E13" s="357"/>
      <c r="F13" s="357" t="s">
        <v>191</v>
      </c>
      <c r="G13" s="355"/>
      <c r="L13" s="144">
        <v>28903.236999999997</v>
      </c>
      <c r="M13" s="144">
        <v>29914.378999999997</v>
      </c>
    </row>
    <row r="14" spans="1:23" x14ac:dyDescent="0.3">
      <c r="A14" s="357" t="s">
        <v>191</v>
      </c>
      <c r="B14" s="357" t="s">
        <v>191</v>
      </c>
      <c r="C14" s="357"/>
      <c r="D14" s="357" t="s">
        <v>191</v>
      </c>
      <c r="E14" s="357"/>
      <c r="F14" s="357" t="s">
        <v>191</v>
      </c>
      <c r="G14" s="355"/>
      <c r="L14" s="144">
        <v>29853.18</v>
      </c>
      <c r="M14" s="144">
        <v>30864.245999999996</v>
      </c>
    </row>
    <row r="15" spans="1:23" x14ac:dyDescent="0.3">
      <c r="A15" s="343" t="s">
        <v>190</v>
      </c>
      <c r="B15" s="343"/>
      <c r="C15" s="344"/>
      <c r="D15" s="344"/>
      <c r="E15" s="344"/>
      <c r="F15" s="344"/>
      <c r="G15" s="345"/>
    </row>
    <row r="16" spans="1:23" x14ac:dyDescent="0.3">
      <c r="A16" s="357" t="s">
        <v>191</v>
      </c>
      <c r="B16" s="364"/>
      <c r="C16" s="430"/>
      <c r="D16" s="363"/>
      <c r="E16" s="363"/>
      <c r="F16" s="363"/>
      <c r="G16" s="352"/>
      <c r="K16">
        <f>23678/67450</f>
        <v>0.35104521868050409</v>
      </c>
    </row>
    <row r="17" spans="1:7" x14ac:dyDescent="0.3">
      <c r="A17" s="357" t="s">
        <v>191</v>
      </c>
      <c r="B17" s="357" t="s">
        <v>191</v>
      </c>
      <c r="C17" s="357"/>
      <c r="D17" s="357" t="s">
        <v>191</v>
      </c>
      <c r="E17" s="357"/>
      <c r="F17" s="357" t="s">
        <v>191</v>
      </c>
      <c r="G17" s="352"/>
    </row>
    <row r="18" spans="1:7" x14ac:dyDescent="0.3">
      <c r="A18" s="357" t="s">
        <v>191</v>
      </c>
      <c r="B18" s="357" t="s">
        <v>191</v>
      </c>
      <c r="C18" s="357"/>
      <c r="D18" s="357" t="s">
        <v>191</v>
      </c>
      <c r="E18" s="357"/>
      <c r="F18" s="357" t="s">
        <v>191</v>
      </c>
      <c r="G18" s="352"/>
    </row>
    <row r="19" spans="1:7" x14ac:dyDescent="0.3">
      <c r="A19" s="343" t="s">
        <v>189</v>
      </c>
      <c r="B19" s="344"/>
      <c r="C19" s="344"/>
      <c r="D19" s="344"/>
      <c r="E19" s="344"/>
      <c r="F19" s="344"/>
      <c r="G19" s="345"/>
    </row>
    <row r="20" spans="1:7" x14ac:dyDescent="0.3">
      <c r="A20" s="357" t="s">
        <v>191</v>
      </c>
      <c r="B20" s="365"/>
      <c r="C20" s="366"/>
      <c r="D20" s="366"/>
      <c r="E20" s="366"/>
      <c r="F20" s="366"/>
      <c r="G20" s="356"/>
    </row>
    <row r="21" spans="1:7" x14ac:dyDescent="0.3">
      <c r="A21" s="357" t="s">
        <v>191</v>
      </c>
      <c r="B21" s="357" t="s">
        <v>191</v>
      </c>
      <c r="C21" s="357"/>
      <c r="D21" s="357" t="s">
        <v>191</v>
      </c>
      <c r="E21" s="357"/>
      <c r="F21" s="357" t="s">
        <v>191</v>
      </c>
      <c r="G21" s="352"/>
    </row>
    <row r="22" spans="1:7" x14ac:dyDescent="0.3">
      <c r="A22" s="357" t="s">
        <v>191</v>
      </c>
      <c r="B22" s="357" t="s">
        <v>191</v>
      </c>
      <c r="C22" s="357"/>
      <c r="D22" s="357" t="s">
        <v>191</v>
      </c>
      <c r="E22" s="357"/>
      <c r="F22" s="357" t="s">
        <v>191</v>
      </c>
      <c r="G22" s="35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1:AH27"/>
  <sheetViews>
    <sheetView topLeftCell="Q45" workbookViewId="0">
      <selection activeCell="A5" sqref="A5"/>
    </sheetView>
  </sheetViews>
  <sheetFormatPr defaultRowHeight="14.4" x14ac:dyDescent="0.3"/>
  <cols>
    <col min="1" max="1" width="15" customWidth="1"/>
    <col min="2" max="13" width="11.109375" bestFit="1" customWidth="1"/>
    <col min="14" max="14" width="9.88671875" bestFit="1" customWidth="1"/>
  </cols>
  <sheetData>
    <row r="1" spans="1:34" x14ac:dyDescent="0.3">
      <c r="A1" s="67" t="s">
        <v>291</v>
      </c>
      <c r="E1" t="s">
        <v>292</v>
      </c>
    </row>
    <row r="2" spans="1:34" x14ac:dyDescent="0.3">
      <c r="A2" t="s">
        <v>30</v>
      </c>
      <c r="B2" s="31" t="s">
        <v>0</v>
      </c>
      <c r="C2" s="32" t="s">
        <v>1</v>
      </c>
      <c r="D2" s="31" t="s">
        <v>2</v>
      </c>
      <c r="E2" s="32" t="s">
        <v>3</v>
      </c>
      <c r="F2" s="31" t="s">
        <v>4</v>
      </c>
      <c r="G2" s="32" t="s">
        <v>5</v>
      </c>
      <c r="H2" s="31" t="s">
        <v>6</v>
      </c>
      <c r="I2" s="32" t="s">
        <v>7</v>
      </c>
      <c r="J2" s="31" t="s">
        <v>8</v>
      </c>
      <c r="K2" s="32" t="s">
        <v>9</v>
      </c>
      <c r="L2" s="31" t="s">
        <v>10</v>
      </c>
      <c r="M2" s="32" t="s">
        <v>11</v>
      </c>
      <c r="O2" s="404" t="s">
        <v>289</v>
      </c>
    </row>
    <row r="3" spans="1:34" x14ac:dyDescent="0.3">
      <c r="A3" s="33" t="s">
        <v>19</v>
      </c>
      <c r="B3" s="34">
        <v>1</v>
      </c>
      <c r="C3" s="35">
        <v>2</v>
      </c>
      <c r="D3" s="34">
        <v>3</v>
      </c>
      <c r="E3" s="35">
        <v>4</v>
      </c>
      <c r="F3" s="34">
        <v>5</v>
      </c>
      <c r="G3" s="35">
        <v>6</v>
      </c>
      <c r="H3" s="34">
        <v>7</v>
      </c>
      <c r="I3" s="35">
        <v>8</v>
      </c>
      <c r="J3" s="34">
        <v>9</v>
      </c>
      <c r="K3" s="35">
        <v>10</v>
      </c>
      <c r="L3" s="34">
        <v>11</v>
      </c>
      <c r="M3" s="35">
        <v>12</v>
      </c>
      <c r="O3" s="50"/>
      <c r="P3" s="50"/>
      <c r="Q3" s="50"/>
    </row>
    <row r="4" spans="1:34" x14ac:dyDescent="0.3">
      <c r="A4" s="17" t="s">
        <v>382</v>
      </c>
      <c r="B4" s="176">
        <v>0</v>
      </c>
      <c r="C4" s="177">
        <v>0</v>
      </c>
      <c r="D4" s="176">
        <v>0</v>
      </c>
      <c r="E4" s="177">
        <v>0</v>
      </c>
      <c r="F4" s="176">
        <v>893.56899999999996</v>
      </c>
      <c r="G4" s="177">
        <v>864.74419999999998</v>
      </c>
      <c r="H4" s="176">
        <v>582.7364</v>
      </c>
      <c r="I4" s="177">
        <v>582.7364</v>
      </c>
      <c r="J4" s="176">
        <v>323.4101</v>
      </c>
      <c r="K4" s="177">
        <v>334.19049999999999</v>
      </c>
      <c r="L4" s="176">
        <v>109.6835</v>
      </c>
      <c r="M4" s="177">
        <v>113.33969999999999</v>
      </c>
      <c r="N4" s="144" t="s">
        <v>212</v>
      </c>
      <c r="P4" s="50"/>
      <c r="Q4" s="50"/>
    </row>
    <row r="5" spans="1:34" x14ac:dyDescent="0.3">
      <c r="A5" s="16" t="s">
        <v>144</v>
      </c>
      <c r="B5" s="178">
        <v>0</v>
      </c>
      <c r="C5" s="179">
        <v>0</v>
      </c>
      <c r="D5" s="178">
        <v>0</v>
      </c>
      <c r="E5" s="179">
        <v>0</v>
      </c>
      <c r="F5" s="178">
        <v>8427.7109999999993</v>
      </c>
      <c r="G5" s="179">
        <v>8155.8491999999997</v>
      </c>
      <c r="H5" s="178">
        <v>10567.901599999999</v>
      </c>
      <c r="I5" s="179">
        <v>10567.901599999999</v>
      </c>
      <c r="J5" s="178">
        <v>1095.4559999999999</v>
      </c>
      <c r="K5" s="179">
        <v>1131.9712</v>
      </c>
      <c r="L5" s="178">
        <v>280.26490000000001</v>
      </c>
      <c r="M5" s="179">
        <v>289.60700000000003</v>
      </c>
    </row>
    <row r="6" spans="1:34" x14ac:dyDescent="0.3">
      <c r="A6" s="18" t="s">
        <v>145</v>
      </c>
      <c r="B6" s="180">
        <v>0</v>
      </c>
      <c r="C6" s="181">
        <v>0</v>
      </c>
      <c r="D6" s="180">
        <v>0</v>
      </c>
      <c r="E6" s="181">
        <v>0</v>
      </c>
      <c r="F6" s="180">
        <v>5047.4859999999999</v>
      </c>
      <c r="G6" s="181">
        <v>4884.6642000000002</v>
      </c>
      <c r="H6" s="180">
        <v>4234.8896999999997</v>
      </c>
      <c r="I6" s="181">
        <v>4234.8896999999997</v>
      </c>
      <c r="J6" s="180">
        <v>531.51009999999997</v>
      </c>
      <c r="K6" s="181">
        <v>549.22709999999995</v>
      </c>
      <c r="L6" s="180">
        <v>142.00819999999999</v>
      </c>
      <c r="M6" s="181">
        <v>146.74189999999999</v>
      </c>
      <c r="P6" t="s">
        <v>293</v>
      </c>
    </row>
    <row r="7" spans="1:34" x14ac:dyDescent="0.3">
      <c r="A7" s="16" t="s">
        <v>16</v>
      </c>
      <c r="B7" s="182"/>
      <c r="C7" s="183"/>
      <c r="D7" s="182"/>
      <c r="E7" s="183"/>
      <c r="F7" s="182">
        <v>1995.104</v>
      </c>
      <c r="G7" s="183">
        <v>1930.7454</v>
      </c>
      <c r="H7" s="182">
        <v>1136.2405000000001</v>
      </c>
      <c r="I7" s="183">
        <v>1136.2405000000001</v>
      </c>
      <c r="J7" s="182">
        <v>490.0729</v>
      </c>
      <c r="K7" s="183">
        <v>506.40870000000001</v>
      </c>
      <c r="L7" s="182">
        <v>101.453</v>
      </c>
      <c r="M7" s="183">
        <v>104.8348</v>
      </c>
      <c r="P7" s="413">
        <v>440409.5880552</v>
      </c>
      <c r="Q7" s="414" t="s">
        <v>143</v>
      </c>
    </row>
    <row r="8" spans="1:34" x14ac:dyDescent="0.3">
      <c r="A8" s="19" t="s">
        <v>17</v>
      </c>
      <c r="B8" s="184"/>
      <c r="C8" s="185"/>
      <c r="D8" s="184"/>
      <c r="E8" s="185"/>
      <c r="F8" s="184">
        <v>3848.9259999999999</v>
      </c>
      <c r="G8" s="185">
        <v>3724.7669999999998</v>
      </c>
      <c r="H8" s="184">
        <v>5682.4187000000002</v>
      </c>
      <c r="I8" s="185">
        <v>5682.4187000000002</v>
      </c>
      <c r="J8" s="184">
        <v>0</v>
      </c>
      <c r="K8" s="185">
        <v>0</v>
      </c>
      <c r="L8" s="184">
        <v>0</v>
      </c>
      <c r="M8" s="185">
        <v>0</v>
      </c>
      <c r="P8" s="275">
        <v>0.25</v>
      </c>
      <c r="Q8" s="275" t="s">
        <v>210</v>
      </c>
    </row>
    <row r="9" spans="1:34" x14ac:dyDescent="0.3">
      <c r="B9" s="152">
        <f>SUM(B4)</f>
        <v>0</v>
      </c>
      <c r="C9" s="153">
        <f>SUM(C4)</f>
        <v>0</v>
      </c>
      <c r="D9" s="152">
        <f>SUM(D4)</f>
        <v>0</v>
      </c>
      <c r="E9" s="153">
        <f>SUM(E4)</f>
        <v>0</v>
      </c>
      <c r="F9" s="152">
        <f>SUM(F4,F7,F8)</f>
        <v>6737.5990000000002</v>
      </c>
      <c r="G9" s="153">
        <f>SUM(G4,G7,G8)</f>
        <v>6520.2565999999997</v>
      </c>
      <c r="H9" s="152">
        <f t="shared" ref="H9:M9" si="0">SUM(H4,H7,H8)</f>
        <v>7401.3955999999998</v>
      </c>
      <c r="I9" s="153">
        <f t="shared" si="0"/>
        <v>7401.3955999999998</v>
      </c>
      <c r="J9" s="152">
        <f t="shared" si="0"/>
        <v>813.48299999999995</v>
      </c>
      <c r="K9" s="153">
        <f t="shared" si="0"/>
        <v>840.5992</v>
      </c>
      <c r="L9" s="152">
        <f t="shared" si="0"/>
        <v>211.13650000000001</v>
      </c>
      <c r="M9" s="153">
        <f t="shared" si="0"/>
        <v>218.17449999999999</v>
      </c>
      <c r="N9" s="144">
        <f>SUM(B9:M9)</f>
        <v>30144.04</v>
      </c>
    </row>
    <row r="10" spans="1:34" x14ac:dyDescent="0.3">
      <c r="B10" s="127">
        <f>B9/SUM($B$9:$M$9)</f>
        <v>0</v>
      </c>
      <c r="C10" s="127">
        <f>C9/SUM($B$9:$M$9)</f>
        <v>0</v>
      </c>
      <c r="D10" s="127">
        <f>D9/SUM($B$9:$M$9)</f>
        <v>0</v>
      </c>
      <c r="E10" s="127">
        <f>E9/SUM($B$9:$M$9)</f>
        <v>0</v>
      </c>
      <c r="F10" s="127">
        <f t="shared" ref="F10:M10" si="1">F9/SUM($B$9:$M$9)</f>
        <v>0.2235134706562226</v>
      </c>
      <c r="G10" s="127">
        <f t="shared" si="1"/>
        <v>0.21630334221955649</v>
      </c>
      <c r="H10" s="127">
        <f t="shared" si="1"/>
        <v>0.24553429467317583</v>
      </c>
      <c r="I10" s="127">
        <f t="shared" si="1"/>
        <v>0.24553429467317583</v>
      </c>
      <c r="J10" s="127">
        <f t="shared" si="1"/>
        <v>2.6986528680296336E-2</v>
      </c>
      <c r="K10" s="127">
        <f t="shared" si="1"/>
        <v>2.7886082953711578E-2</v>
      </c>
      <c r="L10" s="127">
        <f t="shared" si="1"/>
        <v>7.0042535771582043E-3</v>
      </c>
      <c r="M10" s="127">
        <f t="shared" si="1"/>
        <v>7.2377325667030692E-3</v>
      </c>
    </row>
    <row r="11" spans="1:34" x14ac:dyDescent="0.3">
      <c r="A11" t="s">
        <v>29</v>
      </c>
      <c r="B11" s="31">
        <v>31</v>
      </c>
      <c r="C11" s="32">
        <v>28</v>
      </c>
      <c r="D11" s="31">
        <v>31</v>
      </c>
      <c r="E11" s="32">
        <v>30</v>
      </c>
      <c r="F11" s="31">
        <v>31</v>
      </c>
      <c r="G11" s="32">
        <v>30</v>
      </c>
      <c r="H11" s="31">
        <v>31</v>
      </c>
      <c r="I11" s="32">
        <v>31</v>
      </c>
      <c r="J11" s="31">
        <v>30</v>
      </c>
      <c r="K11" s="32">
        <v>31</v>
      </c>
      <c r="L11" s="31">
        <v>30</v>
      </c>
      <c r="M11" s="32">
        <v>31</v>
      </c>
      <c r="R11" t="s">
        <v>300</v>
      </c>
    </row>
    <row r="12" spans="1:34" ht="15" thickBot="1" x14ac:dyDescent="0.35">
      <c r="A12" s="33" t="s">
        <v>19</v>
      </c>
      <c r="B12" s="34">
        <v>1</v>
      </c>
      <c r="C12" s="35">
        <v>2</v>
      </c>
      <c r="D12" s="34">
        <v>3</v>
      </c>
      <c r="E12" s="35">
        <v>4</v>
      </c>
      <c r="F12" s="34">
        <v>5</v>
      </c>
      <c r="G12" s="35">
        <v>6</v>
      </c>
      <c r="H12" s="34">
        <v>7</v>
      </c>
      <c r="I12" s="35">
        <v>8</v>
      </c>
      <c r="J12" s="34">
        <v>9</v>
      </c>
      <c r="K12" s="35">
        <v>10</v>
      </c>
      <c r="L12" s="34">
        <v>11</v>
      </c>
      <c r="M12" s="35">
        <v>12</v>
      </c>
      <c r="S12" s="418" t="s">
        <v>294</v>
      </c>
      <c r="T12" s="423" t="s">
        <v>295</v>
      </c>
      <c r="U12" s="423">
        <v>1</v>
      </c>
      <c r="V12" s="423">
        <v>2</v>
      </c>
      <c r="W12" s="423">
        <v>3</v>
      </c>
      <c r="X12" s="423">
        <v>4</v>
      </c>
      <c r="Y12" s="423">
        <v>5</v>
      </c>
      <c r="Z12" s="423">
        <v>6</v>
      </c>
      <c r="AA12" s="423" t="s">
        <v>4</v>
      </c>
      <c r="AB12" s="423" t="s">
        <v>95</v>
      </c>
      <c r="AC12" s="423" t="s">
        <v>6</v>
      </c>
      <c r="AD12" s="423" t="s">
        <v>7</v>
      </c>
      <c r="AE12" s="423" t="s">
        <v>8</v>
      </c>
      <c r="AF12" s="423" t="s">
        <v>9</v>
      </c>
      <c r="AG12" s="423" t="s">
        <v>10</v>
      </c>
      <c r="AH12" s="423" t="s">
        <v>11</v>
      </c>
    </row>
    <row r="13" spans="1:34" x14ac:dyDescent="0.3">
      <c r="A13" s="17" t="s">
        <v>13</v>
      </c>
      <c r="B13" s="21"/>
      <c r="C13" s="22"/>
      <c r="D13" s="21"/>
      <c r="E13" s="22"/>
      <c r="F13" s="21"/>
      <c r="G13" s="22"/>
      <c r="H13" s="21"/>
      <c r="I13" s="22"/>
      <c r="J13" s="21"/>
      <c r="K13" s="22"/>
      <c r="L13" s="21"/>
      <c r="M13" s="22"/>
      <c r="R13" s="417"/>
      <c r="S13" s="423" t="s">
        <v>295</v>
      </c>
      <c r="T13" s="423">
        <v>1</v>
      </c>
      <c r="U13" s="423">
        <v>2</v>
      </c>
      <c r="V13" s="423">
        <v>3</v>
      </c>
      <c r="W13" s="423">
        <v>4</v>
      </c>
      <c r="X13" s="423">
        <v>5</v>
      </c>
      <c r="Y13" s="423">
        <v>6</v>
      </c>
      <c r="Z13" s="423" t="s">
        <v>4</v>
      </c>
      <c r="AA13" s="423" t="s">
        <v>95</v>
      </c>
      <c r="AB13" s="423" t="s">
        <v>6</v>
      </c>
      <c r="AC13" s="423" t="s">
        <v>7</v>
      </c>
      <c r="AD13" s="423" t="s">
        <v>8</v>
      </c>
      <c r="AE13" s="423" t="s">
        <v>9</v>
      </c>
      <c r="AF13" s="423" t="s">
        <v>10</v>
      </c>
      <c r="AG13" s="423" t="s">
        <v>11</v>
      </c>
      <c r="AH13" s="195"/>
    </row>
    <row r="14" spans="1:34" ht="15" thickBot="1" x14ac:dyDescent="0.35">
      <c r="A14" s="16" t="s">
        <v>22</v>
      </c>
      <c r="B14" s="23"/>
      <c r="C14" s="24"/>
      <c r="D14" s="23"/>
      <c r="E14" s="24"/>
      <c r="F14" s="23"/>
      <c r="G14" s="24"/>
      <c r="H14" s="23"/>
      <c r="I14" s="24"/>
      <c r="J14" s="23"/>
      <c r="K14" s="24"/>
      <c r="L14" s="23"/>
      <c r="M14" s="24"/>
      <c r="R14" s="418" t="s">
        <v>294</v>
      </c>
      <c r="S14" s="424"/>
      <c r="T14" s="424"/>
      <c r="U14" s="424"/>
      <c r="V14" s="424"/>
      <c r="W14" s="424"/>
      <c r="X14" s="424"/>
      <c r="Y14" s="424"/>
      <c r="Z14" s="424"/>
      <c r="AA14" s="424"/>
      <c r="AB14" s="424"/>
      <c r="AC14" s="424"/>
      <c r="AD14" s="424"/>
      <c r="AE14" s="424"/>
      <c r="AF14" s="424"/>
      <c r="AG14" s="424"/>
      <c r="AH14" s="195"/>
    </row>
    <row r="15" spans="1:34" x14ac:dyDescent="0.3">
      <c r="A15" s="18" t="s">
        <v>23</v>
      </c>
      <c r="B15" s="25"/>
      <c r="C15" s="26"/>
      <c r="D15" s="25"/>
      <c r="E15" s="26"/>
      <c r="F15" s="25"/>
      <c r="G15" s="26"/>
      <c r="H15" s="25"/>
      <c r="I15" s="26"/>
      <c r="J15" s="25"/>
      <c r="K15" s="26"/>
      <c r="L15" s="25"/>
      <c r="M15" s="26"/>
      <c r="R15" s="419"/>
      <c r="S15" s="419"/>
      <c r="T15" s="419"/>
      <c r="U15" s="419"/>
      <c r="V15" s="419"/>
      <c r="W15" s="419"/>
      <c r="X15" s="419"/>
      <c r="Y15" s="419"/>
      <c r="Z15" s="419"/>
      <c r="AA15" s="419"/>
      <c r="AB15" s="419"/>
      <c r="AC15" s="419"/>
      <c r="AD15" s="419"/>
      <c r="AE15" s="419"/>
      <c r="AF15" s="419"/>
      <c r="AG15" s="419"/>
      <c r="AH15" s="419"/>
    </row>
    <row r="16" spans="1:34" ht="15" thickBot="1" x14ac:dyDescent="0.35">
      <c r="A16" s="16" t="s">
        <v>20</v>
      </c>
      <c r="B16" s="128"/>
      <c r="C16" s="129"/>
      <c r="D16" s="128"/>
      <c r="E16" s="129"/>
      <c r="F16" s="23"/>
      <c r="G16" s="24"/>
      <c r="H16" s="23"/>
      <c r="I16" s="24"/>
      <c r="J16" s="23"/>
      <c r="K16" s="24"/>
      <c r="L16" s="23"/>
      <c r="M16" s="24"/>
      <c r="R16" s="420">
        <v>1</v>
      </c>
      <c r="S16" s="421" t="s">
        <v>296</v>
      </c>
      <c r="T16" s="421" t="s">
        <v>297</v>
      </c>
      <c r="U16" s="422">
        <v>127.62282</v>
      </c>
      <c r="V16" s="422">
        <v>76.689220000000006</v>
      </c>
      <c r="W16" s="422">
        <v>1758.3130000000001</v>
      </c>
      <c r="X16" s="422">
        <v>1165.473</v>
      </c>
      <c r="Y16" s="422">
        <v>657.60059999999999</v>
      </c>
      <c r="Z16" s="422">
        <v>223.0232</v>
      </c>
      <c r="AA16" s="422">
        <v>893.56899999999996</v>
      </c>
      <c r="AB16" s="422">
        <v>864.74419999999998</v>
      </c>
      <c r="AC16" s="422">
        <v>582.7364</v>
      </c>
      <c r="AD16" s="422">
        <v>582.7364</v>
      </c>
      <c r="AE16" s="422">
        <v>323.4101</v>
      </c>
      <c r="AF16" s="422">
        <v>334.19049999999999</v>
      </c>
      <c r="AG16" s="422">
        <v>109.6835</v>
      </c>
      <c r="AH16" s="422">
        <v>113.33969999999999</v>
      </c>
    </row>
    <row r="17" spans="1:34" ht="15" thickBot="1" x14ac:dyDescent="0.35">
      <c r="A17" s="19" t="s">
        <v>21</v>
      </c>
      <c r="B17" s="130"/>
      <c r="C17" s="131"/>
      <c r="D17" s="130"/>
      <c r="E17" s="131"/>
      <c r="F17" s="27"/>
      <c r="G17" s="28"/>
      <c r="H17" s="27"/>
      <c r="I17" s="28"/>
      <c r="J17" s="25"/>
      <c r="K17" s="26"/>
      <c r="L17" s="25"/>
      <c r="M17" s="26"/>
      <c r="R17" s="420">
        <v>2</v>
      </c>
      <c r="S17" s="421" t="s">
        <v>296</v>
      </c>
      <c r="T17" s="421" t="s">
        <v>144</v>
      </c>
      <c r="U17" s="422">
        <v>211.00307000000001</v>
      </c>
      <c r="V17" s="422">
        <v>126.79284</v>
      </c>
      <c r="W17" s="422">
        <v>16583.560000000001</v>
      </c>
      <c r="X17" s="422">
        <v>21135.803</v>
      </c>
      <c r="Y17" s="422">
        <v>2227.4272000000001</v>
      </c>
      <c r="Z17" s="422">
        <v>569.87189999999998</v>
      </c>
      <c r="AA17" s="422">
        <v>8427.7109999999993</v>
      </c>
      <c r="AB17" s="422">
        <v>8155.8491999999997</v>
      </c>
      <c r="AC17" s="422">
        <v>10567.901599999999</v>
      </c>
      <c r="AD17" s="422">
        <v>10567.901599999999</v>
      </c>
      <c r="AE17" s="422">
        <v>1095.4559999999999</v>
      </c>
      <c r="AF17" s="422">
        <v>1131.9712</v>
      </c>
      <c r="AG17" s="422">
        <v>280.26490000000001</v>
      </c>
      <c r="AH17" s="422">
        <v>289.60700000000003</v>
      </c>
    </row>
    <row r="18" spans="1:34" ht="15" thickBot="1" x14ac:dyDescent="0.35">
      <c r="B18" s="29"/>
      <c r="C18" s="30"/>
      <c r="D18" s="29"/>
      <c r="E18" s="30"/>
      <c r="F18" s="29"/>
      <c r="G18" s="30"/>
      <c r="H18" s="29"/>
      <c r="I18" s="30"/>
      <c r="J18" s="29"/>
      <c r="K18" s="30"/>
      <c r="L18" s="29"/>
      <c r="M18" s="30"/>
      <c r="R18" s="420">
        <v>3</v>
      </c>
      <c r="S18" s="421" t="s">
        <v>296</v>
      </c>
      <c r="T18" s="421" t="s">
        <v>145</v>
      </c>
      <c r="U18" s="422">
        <v>44.242579999999997</v>
      </c>
      <c r="V18" s="422">
        <v>26.58559</v>
      </c>
      <c r="W18" s="422">
        <v>9932.1509999999998</v>
      </c>
      <c r="X18" s="422">
        <v>8469.7790000000005</v>
      </c>
      <c r="Y18" s="422">
        <v>1080.7371000000001</v>
      </c>
      <c r="Z18" s="422">
        <v>288.75009999999997</v>
      </c>
      <c r="AA18" s="422">
        <v>5047.4859999999999</v>
      </c>
      <c r="AB18" s="422">
        <v>4884.6642000000002</v>
      </c>
      <c r="AC18" s="422">
        <v>4234.8896999999997</v>
      </c>
      <c r="AD18" s="422">
        <v>4234.8896999999997</v>
      </c>
      <c r="AE18" s="422">
        <v>531.51009999999997</v>
      </c>
      <c r="AF18" s="422">
        <v>549.22709999999995</v>
      </c>
      <c r="AG18" s="422">
        <v>142.00819999999999</v>
      </c>
      <c r="AH18" s="422">
        <v>146.74189999999999</v>
      </c>
    </row>
    <row r="19" spans="1:34" ht="15" thickBot="1" x14ac:dyDescent="0.35">
      <c r="B19" s="112"/>
      <c r="C19" s="112"/>
      <c r="D19" s="112"/>
      <c r="E19" s="112"/>
      <c r="F19" s="112"/>
      <c r="G19" s="112"/>
      <c r="H19" s="112"/>
      <c r="I19" s="112"/>
      <c r="J19" s="112"/>
      <c r="K19" s="112"/>
      <c r="L19" s="112"/>
      <c r="M19" s="112"/>
      <c r="R19" s="420">
        <v>4</v>
      </c>
      <c r="S19" s="421" t="s">
        <v>296</v>
      </c>
      <c r="T19" s="421" t="s">
        <v>298</v>
      </c>
      <c r="U19" s="422">
        <v>0</v>
      </c>
      <c r="V19" s="422">
        <v>0</v>
      </c>
      <c r="W19" s="422">
        <v>3925.8490000000002</v>
      </c>
      <c r="X19" s="422">
        <v>2272.4810000000002</v>
      </c>
      <c r="Y19" s="422">
        <v>996.48159999999996</v>
      </c>
      <c r="Z19" s="422">
        <v>206.2878</v>
      </c>
      <c r="AA19" s="422">
        <v>1995.104</v>
      </c>
      <c r="AB19" s="422">
        <v>1930.7454</v>
      </c>
      <c r="AC19" s="422">
        <v>1136.2405000000001</v>
      </c>
      <c r="AD19" s="422">
        <v>1136.2405000000001</v>
      </c>
      <c r="AE19" s="422">
        <v>490.0729</v>
      </c>
      <c r="AF19" s="422">
        <v>506.40870000000001</v>
      </c>
      <c r="AG19" s="422">
        <v>101.453</v>
      </c>
      <c r="AH19" s="422">
        <v>104.8348</v>
      </c>
    </row>
    <row r="20" spans="1:34" ht="15" thickBot="1" x14ac:dyDescent="0.35">
      <c r="A20" t="s">
        <v>31</v>
      </c>
      <c r="B20" s="31">
        <v>31</v>
      </c>
      <c r="C20" s="32">
        <v>28</v>
      </c>
      <c r="D20" s="31">
        <v>31</v>
      </c>
      <c r="E20" s="32">
        <v>30</v>
      </c>
      <c r="F20" s="31">
        <v>31</v>
      </c>
      <c r="G20" s="32">
        <v>30</v>
      </c>
      <c r="H20" s="31">
        <v>31</v>
      </c>
      <c r="I20" s="32">
        <v>31</v>
      </c>
      <c r="J20" s="31">
        <v>30</v>
      </c>
      <c r="K20" s="32">
        <v>31</v>
      </c>
      <c r="L20" s="31">
        <v>30</v>
      </c>
      <c r="M20" s="32">
        <v>31</v>
      </c>
      <c r="R20" s="420">
        <v>5</v>
      </c>
      <c r="S20" s="421" t="s">
        <v>296</v>
      </c>
      <c r="T20" s="421" t="s">
        <v>299</v>
      </c>
      <c r="U20" s="422">
        <v>0</v>
      </c>
      <c r="V20" s="422">
        <v>0</v>
      </c>
      <c r="W20" s="422">
        <v>7573.6930000000002</v>
      </c>
      <c r="X20" s="422">
        <v>11364.837</v>
      </c>
      <c r="Y20" s="422">
        <v>0</v>
      </c>
      <c r="Z20" s="422">
        <v>0</v>
      </c>
      <c r="AA20" s="422">
        <v>3848.9259999999999</v>
      </c>
      <c r="AB20" s="422">
        <v>3724.7669999999998</v>
      </c>
      <c r="AC20" s="422">
        <v>5682.4187000000002</v>
      </c>
      <c r="AD20" s="422">
        <v>5682.4187000000002</v>
      </c>
      <c r="AE20" s="422">
        <v>0</v>
      </c>
      <c r="AF20" s="422">
        <v>0</v>
      </c>
      <c r="AG20" s="422">
        <v>0</v>
      </c>
      <c r="AH20" s="422">
        <v>0</v>
      </c>
    </row>
    <row r="21" spans="1:34" ht="15" thickBot="1" x14ac:dyDescent="0.35">
      <c r="A21" s="33" t="s">
        <v>19</v>
      </c>
      <c r="B21" s="34">
        <v>1</v>
      </c>
      <c r="C21" s="35">
        <v>2</v>
      </c>
      <c r="D21" s="34">
        <v>3</v>
      </c>
      <c r="E21" s="35">
        <v>4</v>
      </c>
      <c r="F21" s="34">
        <v>5</v>
      </c>
      <c r="G21" s="35">
        <v>6</v>
      </c>
      <c r="H21" s="34">
        <v>7</v>
      </c>
      <c r="I21" s="35">
        <v>8</v>
      </c>
      <c r="J21" s="34">
        <v>9</v>
      </c>
      <c r="K21" s="35">
        <v>10</v>
      </c>
      <c r="L21" s="34">
        <v>11</v>
      </c>
      <c r="M21" s="35">
        <v>12</v>
      </c>
      <c r="R21" s="420">
        <v>6</v>
      </c>
      <c r="S21" s="421" t="s">
        <v>296</v>
      </c>
      <c r="T21" s="421" t="s">
        <v>49</v>
      </c>
      <c r="U21" s="422">
        <v>127.62282</v>
      </c>
      <c r="V21" s="422">
        <v>76.689220000000006</v>
      </c>
      <c r="W21" s="422">
        <v>13257.855</v>
      </c>
      <c r="X21" s="422">
        <v>14802.790999999999</v>
      </c>
      <c r="Y21" s="422">
        <v>1654.0821000000001</v>
      </c>
      <c r="Z21" s="422">
        <v>429.31099999999998</v>
      </c>
      <c r="AA21" s="422">
        <v>6737.5990000000002</v>
      </c>
      <c r="AB21" s="422">
        <v>6520.2566999999999</v>
      </c>
      <c r="AC21" s="422">
        <v>7401.3955999999998</v>
      </c>
      <c r="AD21" s="422">
        <v>7401.3955999999998</v>
      </c>
      <c r="AE21" s="422">
        <v>813.48299999999995</v>
      </c>
      <c r="AF21" s="422">
        <v>840.59910000000002</v>
      </c>
      <c r="AG21" s="422">
        <v>211.13659999999999</v>
      </c>
      <c r="AH21" s="422">
        <v>218.17439999999999</v>
      </c>
    </row>
    <row r="22" spans="1:34" x14ac:dyDescent="0.3">
      <c r="A22" s="17" t="s">
        <v>13</v>
      </c>
      <c r="B22" s="21">
        <f>B13*$P$8</f>
        <v>0</v>
      </c>
      <c r="C22" s="21">
        <f>C13*$P$8</f>
        <v>0</v>
      </c>
      <c r="D22" s="21">
        <f t="shared" ref="D22:M22" si="2">D13*$P$8</f>
        <v>0</v>
      </c>
      <c r="E22" s="21">
        <f t="shared" si="2"/>
        <v>0</v>
      </c>
      <c r="F22" s="21">
        <f t="shared" si="2"/>
        <v>0</v>
      </c>
      <c r="G22" s="21">
        <f t="shared" si="2"/>
        <v>0</v>
      </c>
      <c r="H22" s="21">
        <f t="shared" si="2"/>
        <v>0</v>
      </c>
      <c r="I22" s="21">
        <f t="shared" si="2"/>
        <v>0</v>
      </c>
      <c r="J22" s="21">
        <f t="shared" si="2"/>
        <v>0</v>
      </c>
      <c r="K22" s="21">
        <f t="shared" si="2"/>
        <v>0</v>
      </c>
      <c r="L22" s="21">
        <f t="shared" si="2"/>
        <v>0</v>
      </c>
      <c r="M22" s="21">
        <f t="shared" si="2"/>
        <v>0</v>
      </c>
    </row>
    <row r="23" spans="1:34" x14ac:dyDescent="0.3">
      <c r="A23" s="16" t="s">
        <v>22</v>
      </c>
      <c r="B23" s="21">
        <f t="shared" ref="B23:M23" si="3">B14*$P$8</f>
        <v>0</v>
      </c>
      <c r="C23" s="21">
        <f t="shared" si="3"/>
        <v>0</v>
      </c>
      <c r="D23" s="21">
        <f t="shared" si="3"/>
        <v>0</v>
      </c>
      <c r="E23" s="21">
        <f t="shared" si="3"/>
        <v>0</v>
      </c>
      <c r="F23" s="21">
        <f t="shared" si="3"/>
        <v>0</v>
      </c>
      <c r="G23" s="21">
        <f t="shared" si="3"/>
        <v>0</v>
      </c>
      <c r="H23" s="21">
        <f t="shared" si="3"/>
        <v>0</v>
      </c>
      <c r="I23" s="21">
        <f t="shared" si="3"/>
        <v>0</v>
      </c>
      <c r="J23" s="21">
        <f t="shared" si="3"/>
        <v>0</v>
      </c>
      <c r="K23" s="21">
        <f t="shared" si="3"/>
        <v>0</v>
      </c>
      <c r="L23" s="21">
        <f t="shared" si="3"/>
        <v>0</v>
      </c>
      <c r="M23" s="21">
        <f t="shared" si="3"/>
        <v>0</v>
      </c>
      <c r="S23" s="195"/>
      <c r="T23" s="195"/>
      <c r="U23" s="195"/>
      <c r="V23" s="195"/>
      <c r="W23" s="195"/>
      <c r="X23" s="195"/>
      <c r="Y23" s="195"/>
      <c r="Z23" s="195"/>
    </row>
    <row r="24" spans="1:34" x14ac:dyDescent="0.3">
      <c r="A24" s="18" t="s">
        <v>23</v>
      </c>
      <c r="B24" s="21">
        <f t="shared" ref="B24:M24" si="4">B15*$P$8</f>
        <v>0</v>
      </c>
      <c r="C24" s="21">
        <f t="shared" si="4"/>
        <v>0</v>
      </c>
      <c r="D24" s="21">
        <f t="shared" si="4"/>
        <v>0</v>
      </c>
      <c r="E24" s="21">
        <f t="shared" si="4"/>
        <v>0</v>
      </c>
      <c r="F24" s="21">
        <f t="shared" si="4"/>
        <v>0</v>
      </c>
      <c r="G24" s="21">
        <f t="shared" si="4"/>
        <v>0</v>
      </c>
      <c r="H24" s="21">
        <f t="shared" si="4"/>
        <v>0</v>
      </c>
      <c r="I24" s="21">
        <f t="shared" si="4"/>
        <v>0</v>
      </c>
      <c r="J24" s="21">
        <f t="shared" si="4"/>
        <v>0</v>
      </c>
      <c r="K24" s="21">
        <f t="shared" si="4"/>
        <v>0</v>
      </c>
      <c r="L24" s="21">
        <f t="shared" si="4"/>
        <v>0</v>
      </c>
      <c r="M24" s="21">
        <f t="shared" si="4"/>
        <v>0</v>
      </c>
      <c r="S24" s="195"/>
      <c r="T24" s="195"/>
      <c r="U24" s="195"/>
      <c r="V24" s="195"/>
      <c r="W24" s="195"/>
      <c r="X24" s="195"/>
      <c r="Y24" s="195"/>
      <c r="Z24" s="195"/>
    </row>
    <row r="25" spans="1:34" x14ac:dyDescent="0.3">
      <c r="A25" s="16" t="s">
        <v>20</v>
      </c>
      <c r="B25" s="21">
        <f t="shared" ref="B25:M25" si="5">B16*$P$8</f>
        <v>0</v>
      </c>
      <c r="C25" s="21">
        <f t="shared" si="5"/>
        <v>0</v>
      </c>
      <c r="D25" s="21">
        <f t="shared" si="5"/>
        <v>0</v>
      </c>
      <c r="E25" s="21">
        <f t="shared" si="5"/>
        <v>0</v>
      </c>
      <c r="F25" s="21">
        <f t="shared" si="5"/>
        <v>0</v>
      </c>
      <c r="G25" s="21">
        <f t="shared" si="5"/>
        <v>0</v>
      </c>
      <c r="H25" s="21">
        <f t="shared" si="5"/>
        <v>0</v>
      </c>
      <c r="I25" s="21">
        <f t="shared" si="5"/>
        <v>0</v>
      </c>
      <c r="J25" s="21">
        <f t="shared" si="5"/>
        <v>0</v>
      </c>
      <c r="K25" s="21">
        <f t="shared" si="5"/>
        <v>0</v>
      </c>
      <c r="L25" s="21">
        <f t="shared" si="5"/>
        <v>0</v>
      </c>
      <c r="M25" s="21">
        <f t="shared" si="5"/>
        <v>0</v>
      </c>
      <c r="S25" s="195"/>
      <c r="T25" s="195"/>
      <c r="U25" s="195"/>
      <c r="V25" s="195"/>
      <c r="W25" s="195"/>
      <c r="X25" s="195"/>
      <c r="Y25" s="195"/>
      <c r="Z25" s="195"/>
    </row>
    <row r="26" spans="1:34" x14ac:dyDescent="0.3">
      <c r="A26" s="19" t="s">
        <v>21</v>
      </c>
      <c r="B26" s="21">
        <f t="shared" ref="B26:M26" si="6">B17*$P$8</f>
        <v>0</v>
      </c>
      <c r="C26" s="21">
        <f t="shared" si="6"/>
        <v>0</v>
      </c>
      <c r="D26" s="21">
        <f t="shared" si="6"/>
        <v>0</v>
      </c>
      <c r="E26" s="21">
        <f t="shared" si="6"/>
        <v>0</v>
      </c>
      <c r="F26" s="21">
        <f t="shared" si="6"/>
        <v>0</v>
      </c>
      <c r="G26" s="21">
        <f t="shared" si="6"/>
        <v>0</v>
      </c>
      <c r="H26" s="21">
        <f t="shared" si="6"/>
        <v>0</v>
      </c>
      <c r="I26" s="21">
        <f t="shared" si="6"/>
        <v>0</v>
      </c>
      <c r="J26" s="21">
        <f t="shared" si="6"/>
        <v>0</v>
      </c>
      <c r="K26" s="21">
        <f t="shared" si="6"/>
        <v>0</v>
      </c>
      <c r="L26" s="21">
        <f t="shared" si="6"/>
        <v>0</v>
      </c>
      <c r="M26" s="21">
        <f t="shared" si="6"/>
        <v>0</v>
      </c>
    </row>
    <row r="27" spans="1:34" x14ac:dyDescent="0.3">
      <c r="B27" s="29">
        <f t="shared" ref="B27:M27" si="7">SUM(B22:B26)</f>
        <v>0</v>
      </c>
      <c r="C27" s="30">
        <f t="shared" si="7"/>
        <v>0</v>
      </c>
      <c r="D27" s="29">
        <f t="shared" si="7"/>
        <v>0</v>
      </c>
      <c r="E27" s="30">
        <f t="shared" si="7"/>
        <v>0</v>
      </c>
      <c r="F27" s="29">
        <f t="shared" si="7"/>
        <v>0</v>
      </c>
      <c r="G27" s="30">
        <f t="shared" si="7"/>
        <v>0</v>
      </c>
      <c r="H27" s="29">
        <f t="shared" si="7"/>
        <v>0</v>
      </c>
      <c r="I27" s="30">
        <f t="shared" si="7"/>
        <v>0</v>
      </c>
      <c r="J27" s="29">
        <f t="shared" si="7"/>
        <v>0</v>
      </c>
      <c r="K27" s="30">
        <f t="shared" si="7"/>
        <v>0</v>
      </c>
      <c r="L27" s="29">
        <f t="shared" si="7"/>
        <v>0</v>
      </c>
      <c r="M27" s="30">
        <f t="shared" si="7"/>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J376"/>
  <sheetViews>
    <sheetView topLeftCell="S359" workbookViewId="0">
      <selection activeCell="T369" sqref="T369:AC369"/>
    </sheetView>
  </sheetViews>
  <sheetFormatPr defaultColWidth="8.88671875" defaultRowHeight="14.4" x14ac:dyDescent="0.3"/>
  <cols>
    <col min="1" max="1" width="10.5546875" style="195" bestFit="1" customWidth="1"/>
    <col min="2" max="2" width="7.5546875" style="36" bestFit="1" customWidth="1"/>
    <col min="3" max="3" width="5.6640625" style="36" bestFit="1" customWidth="1"/>
    <col min="4" max="4" width="16.5546875" style="201" bestFit="1" customWidth="1"/>
    <col min="5" max="6" width="16.5546875" style="201" customWidth="1"/>
    <col min="7" max="7" width="21.44140625" style="36" bestFit="1" customWidth="1"/>
    <col min="8" max="9" width="21.44140625" style="36" customWidth="1"/>
    <col min="10" max="10" width="13.77734375" style="36" customWidth="1"/>
    <col min="11" max="11" width="13.5546875" style="36" customWidth="1"/>
    <col min="12" max="12" width="13.21875" style="36" customWidth="1"/>
    <col min="13" max="15" width="9.77734375" style="36" customWidth="1"/>
    <col min="16" max="19" width="12" style="36" customWidth="1"/>
    <col min="20" max="20" width="15.5546875" style="195" bestFit="1" customWidth="1"/>
    <col min="21" max="21" width="15.44140625" style="195" customWidth="1"/>
    <col min="22" max="25" width="13.6640625" style="195" customWidth="1"/>
    <col min="26" max="28" width="13.44140625" style="195" customWidth="1"/>
    <col min="29" max="29" width="10.44140625" style="195" customWidth="1"/>
    <col min="30" max="30" width="8.88671875" style="195"/>
    <col min="31" max="31" width="7.5546875" style="195" bestFit="1" customWidth="1"/>
    <col min="32" max="32" width="12.109375" style="195" bestFit="1" customWidth="1"/>
    <col min="33" max="33" width="9.44140625" style="195" bestFit="1" customWidth="1"/>
    <col min="34" max="34" width="11.88671875" style="195" bestFit="1" customWidth="1"/>
    <col min="35" max="35" width="12.5546875" style="195" customWidth="1"/>
    <col min="36" max="36" width="11.88671875" style="195" customWidth="1"/>
    <col min="37" max="16384" width="8.88671875" style="195"/>
  </cols>
  <sheetData>
    <row r="1" spans="1:36" ht="43.2" x14ac:dyDescent="0.3">
      <c r="A1" s="195" t="s">
        <v>106</v>
      </c>
      <c r="B1" s="36" t="s">
        <v>107</v>
      </c>
      <c r="C1" s="36" t="s">
        <v>108</v>
      </c>
      <c r="D1" s="201" t="s">
        <v>174</v>
      </c>
      <c r="E1" s="326" t="s">
        <v>172</v>
      </c>
      <c r="F1" s="326" t="s">
        <v>173</v>
      </c>
      <c r="G1" s="36" t="s">
        <v>109</v>
      </c>
      <c r="H1" s="36" t="s">
        <v>177</v>
      </c>
      <c r="I1" s="36" t="s">
        <v>178</v>
      </c>
      <c r="J1" s="373" t="s">
        <v>338</v>
      </c>
      <c r="K1" s="373" t="s">
        <v>339</v>
      </c>
      <c r="L1" s="373" t="s">
        <v>192</v>
      </c>
      <c r="M1" s="372" t="s">
        <v>340</v>
      </c>
      <c r="N1" s="372" t="s">
        <v>341</v>
      </c>
      <c r="O1" s="372" t="s">
        <v>193</v>
      </c>
      <c r="P1" s="373" t="s">
        <v>194</v>
      </c>
      <c r="Q1" s="373" t="s">
        <v>195</v>
      </c>
      <c r="R1" s="373" t="s">
        <v>196</v>
      </c>
      <c r="S1" s="372" t="s">
        <v>197</v>
      </c>
      <c r="T1" s="373" t="s">
        <v>345</v>
      </c>
      <c r="U1" s="373" t="s">
        <v>198</v>
      </c>
      <c r="V1" s="373" t="s">
        <v>346</v>
      </c>
      <c r="W1" s="372" t="s">
        <v>199</v>
      </c>
      <c r="X1" s="372" t="s">
        <v>200</v>
      </c>
      <c r="Y1" s="372" t="s">
        <v>201</v>
      </c>
      <c r="Z1" s="373" t="s">
        <v>202</v>
      </c>
      <c r="AA1" s="373" t="s">
        <v>203</v>
      </c>
      <c r="AB1" s="373" t="s">
        <v>204</v>
      </c>
      <c r="AC1" s="372" t="s">
        <v>205</v>
      </c>
      <c r="AD1" s="372"/>
      <c r="AE1" s="195" t="s">
        <v>107</v>
      </c>
      <c r="AF1" s="195" t="s">
        <v>110</v>
      </c>
      <c r="AG1" s="195" t="s">
        <v>111</v>
      </c>
      <c r="AH1" s="195" t="s">
        <v>112</v>
      </c>
      <c r="AI1" s="327" t="s">
        <v>175</v>
      </c>
      <c r="AJ1" s="327" t="s">
        <v>176</v>
      </c>
    </row>
    <row r="2" spans="1:36" x14ac:dyDescent="0.3">
      <c r="A2" s="202">
        <v>41275</v>
      </c>
      <c r="B2" s="203">
        <f>MONTH(A2)</f>
        <v>1</v>
      </c>
      <c r="C2" s="203">
        <f t="shared" ref="C2:C65" si="0">IF(VLOOKUP($B2,$AE$2:$AF$15,2,FALSE)=0,1,IF(VLOOKUP($B2,$AE$2:$AF$15,2,FALSE)=VLOOKUP($B2,$AE$2:$AG$15,3,FALSE),0,IF(AND((VLOOKUP(($B2-1),$AE$2:$AF$15,2,FALSE)&gt;=1),VLOOKUP($B2,$AE$2:$AF$15,2,FALSE)&gt;=DAY(A2)),0,IF(AND((VLOOKUP(($B2+1),$AE$2:$AF$15,2,FALSE)&gt;=1),DAY(A2)&gt;(VLOOKUP($B2,$AE$2:$AG$15,3,FALSE)-VLOOKUP($B2,$AE$2:$AF$15,2,FALSE))),0,1))))</f>
        <v>0</v>
      </c>
      <c r="D2" s="201">
        <f t="shared" ref="D2:D65" si="1">IF(C2=0,0,VLOOKUP(B2,$AE$3:$AH$14,4,FALSE))</f>
        <v>0</v>
      </c>
      <c r="E2" s="201">
        <f t="shared" ref="E2:E65" si="2">IF(C2=0,0,VLOOKUP(B2,$AE$3:$AJ$14,5,FALSE))</f>
        <v>0</v>
      </c>
      <c r="F2" s="201">
        <f t="shared" ref="F2:F65" si="3">IF(C2=0,0,VLOOKUP(B2,$AE$3:$AJ$14,6,FALSE))</f>
        <v>0</v>
      </c>
      <c r="G2" s="201">
        <f>SUM(D$2:D2)</f>
        <v>0</v>
      </c>
      <c r="H2" s="201">
        <f>SUM(E$2:E2)</f>
        <v>0</v>
      </c>
      <c r="I2" s="201">
        <f>SUM(F$2:F2)</f>
        <v>0</v>
      </c>
      <c r="J2" s="201">
        <f>Model!F$51</f>
        <v>23678.322499999998</v>
      </c>
      <c r="K2" s="201">
        <f>Model!G$51</f>
        <v>26052.648000000005</v>
      </c>
      <c r="L2" s="201">
        <f>Model!H$51</f>
        <v>27478.056499999995</v>
      </c>
      <c r="M2" s="201">
        <f>Model!I$51</f>
        <v>28903.236999999997</v>
      </c>
      <c r="N2" s="201">
        <f>Model!J$51</f>
        <v>29853.18</v>
      </c>
      <c r="O2" s="201">
        <f>Model!K$51</f>
        <v>0</v>
      </c>
      <c r="P2" s="201">
        <f>Model!L$51</f>
        <v>0</v>
      </c>
      <c r="Q2" s="201">
        <f>Model!M$51</f>
        <v>0</v>
      </c>
      <c r="R2" s="201">
        <f>Model!N$51</f>
        <v>0</v>
      </c>
      <c r="S2" s="201">
        <f>Model!R$51</f>
        <v>25000</v>
      </c>
      <c r="T2" s="204" t="str">
        <f>IF(ISNUMBER(T1),"  ",IF(T1="  ","  ",IF($G2&gt;J2,$A2,"")))</f>
        <v/>
      </c>
      <c r="U2" s="204" t="str">
        <f>IF(ISNUMBER(U1),"  ",IF(U1="  ","  ",IF($G2&gt;L2,$A2,"")))</f>
        <v/>
      </c>
      <c r="V2" s="204" t="str">
        <f>IF(ISNUMBER(V1),"  ",IF(V1="  ","  ",IF($G2&gt;N2,$A2,"")))</f>
        <v/>
      </c>
      <c r="W2" s="204" t="str">
        <f t="shared" ref="W2:AC17" si="4">IF(ISNUMBER(W1),"  ",IF(W1="  ","  ",IF($G2&gt;M2,$A2,"")))</f>
        <v/>
      </c>
      <c r="X2" s="204" t="str">
        <f t="shared" si="4"/>
        <v/>
      </c>
      <c r="Y2" s="204" t="str">
        <f t="shared" si="4"/>
        <v/>
      </c>
      <c r="Z2" s="204" t="str">
        <f t="shared" si="4"/>
        <v/>
      </c>
      <c r="AA2" s="204" t="str">
        <f t="shared" si="4"/>
        <v/>
      </c>
      <c r="AB2" s="204" t="str">
        <f t="shared" si="4"/>
        <v/>
      </c>
      <c r="AC2" s="204" t="str">
        <f t="shared" si="4"/>
        <v/>
      </c>
      <c r="AE2" s="195">
        <v>0</v>
      </c>
      <c r="AF2" s="195">
        <f>AF14</f>
        <v>0</v>
      </c>
      <c r="AG2" s="195">
        <v>0</v>
      </c>
      <c r="AH2" s="144">
        <f>IF(AF2=AG2,0,Model!G$35/(AG2-AF2))</f>
        <v>0</v>
      </c>
      <c r="AI2" s="195">
        <f>IF(AF2=AG2,0,Landings1!B$5/(AG2-AF2))</f>
        <v>0</v>
      </c>
      <c r="AJ2" s="195">
        <f>IF(AF2=AG2,0,Landings1!B$6/(AG2-AF2))</f>
        <v>0</v>
      </c>
    </row>
    <row r="3" spans="1:36" x14ac:dyDescent="0.3">
      <c r="A3" s="202">
        <v>41276</v>
      </c>
      <c r="B3" s="203">
        <f t="shared" ref="B3:B65" si="5">MONTH(A3)</f>
        <v>1</v>
      </c>
      <c r="C3" s="203">
        <f t="shared" si="0"/>
        <v>0</v>
      </c>
      <c r="D3" s="201">
        <f t="shared" si="1"/>
        <v>0</v>
      </c>
      <c r="E3" s="201">
        <f t="shared" si="2"/>
        <v>0</v>
      </c>
      <c r="F3" s="201">
        <f t="shared" si="3"/>
        <v>0</v>
      </c>
      <c r="G3" s="201">
        <f>SUM(D$2:D3)</f>
        <v>0</v>
      </c>
      <c r="H3" s="201">
        <f>SUM(E$2:E3)</f>
        <v>0</v>
      </c>
      <c r="I3" s="201">
        <f>SUM(F$2:F3)</f>
        <v>0</v>
      </c>
      <c r="J3" s="201">
        <f>Model!F$51</f>
        <v>23678.322499999998</v>
      </c>
      <c r="K3" s="201">
        <f>Model!G$51</f>
        <v>26052.648000000005</v>
      </c>
      <c r="L3" s="201">
        <f>Model!H$51</f>
        <v>27478.056499999995</v>
      </c>
      <c r="M3" s="201">
        <f>Model!I$51</f>
        <v>28903.236999999997</v>
      </c>
      <c r="N3" s="201">
        <f>Model!J$51</f>
        <v>29853.18</v>
      </c>
      <c r="O3" s="201">
        <f>Model!K$51</f>
        <v>0</v>
      </c>
      <c r="P3" s="201">
        <f>Model!L$51</f>
        <v>0</v>
      </c>
      <c r="Q3" s="201">
        <f>Model!M$51</f>
        <v>0</v>
      </c>
      <c r="R3" s="201">
        <f>Model!N$51</f>
        <v>0</v>
      </c>
      <c r="S3" s="201">
        <f>Model!R$51</f>
        <v>25000</v>
      </c>
      <c r="T3" s="204" t="str">
        <f t="shared" ref="T3:X66" si="6">IF(ISNUMBER(T2),"  ",IF(T2="  ","  ",IF($G3&gt;J3,$A3,"")))</f>
        <v/>
      </c>
      <c r="U3" s="204" t="str">
        <f t="shared" ref="U3:U66" si="7">IF(ISNUMBER(U2),"  ",IF(U2="  ","  ",IF($G3&gt;L3,$A3,"")))</f>
        <v/>
      </c>
      <c r="V3" s="204" t="str">
        <f t="shared" ref="V3:V66" si="8">IF(ISNUMBER(V2),"  ",IF(V2="  ","  ",IF($G3&gt;N3,$A3,"")))</f>
        <v/>
      </c>
      <c r="W3" s="204" t="str">
        <f t="shared" si="4"/>
        <v/>
      </c>
      <c r="X3" s="204" t="str">
        <f t="shared" si="4"/>
        <v/>
      </c>
      <c r="Y3" s="204" t="str">
        <f t="shared" si="4"/>
        <v/>
      </c>
      <c r="Z3" s="204" t="str">
        <f t="shared" si="4"/>
        <v/>
      </c>
      <c r="AA3" s="204" t="str">
        <f t="shared" si="4"/>
        <v/>
      </c>
      <c r="AB3" s="204" t="str">
        <f t="shared" si="4"/>
        <v/>
      </c>
      <c r="AC3" s="204" t="str">
        <f t="shared" si="4"/>
        <v/>
      </c>
      <c r="AE3" s="195">
        <v>1</v>
      </c>
      <c r="AF3" s="195">
        <f>Inputs!B$39</f>
        <v>31</v>
      </c>
      <c r="AG3" s="195">
        <v>31</v>
      </c>
      <c r="AH3" s="144">
        <f>IF(AF3=AG3,0,Model!G$35/(AG3-AF3))</f>
        <v>0</v>
      </c>
      <c r="AI3" s="195">
        <f>IF(AF3=AG3,0,Landings1!B$5/(AG3-AF3))</f>
        <v>0</v>
      </c>
      <c r="AJ3" s="195">
        <f>IF(AF2=AG2,0,Landings1!B$6/(AG2-AF2))</f>
        <v>0</v>
      </c>
    </row>
    <row r="4" spans="1:36" x14ac:dyDescent="0.3">
      <c r="A4" s="202">
        <v>41277</v>
      </c>
      <c r="B4" s="203">
        <f t="shared" si="5"/>
        <v>1</v>
      </c>
      <c r="C4" s="203">
        <f t="shared" si="0"/>
        <v>0</v>
      </c>
      <c r="D4" s="201">
        <f t="shared" si="1"/>
        <v>0</v>
      </c>
      <c r="E4" s="201">
        <f t="shared" si="2"/>
        <v>0</v>
      </c>
      <c r="F4" s="201">
        <f t="shared" si="3"/>
        <v>0</v>
      </c>
      <c r="G4" s="201">
        <f>SUM(D$2:D4)</f>
        <v>0</v>
      </c>
      <c r="H4" s="201">
        <f>SUM(E$2:E4)</f>
        <v>0</v>
      </c>
      <c r="I4" s="201">
        <f>SUM(F$2:F4)</f>
        <v>0</v>
      </c>
      <c r="J4" s="201">
        <f>Model!F$51</f>
        <v>23678.322499999998</v>
      </c>
      <c r="K4" s="201">
        <f>Model!G$51</f>
        <v>26052.648000000005</v>
      </c>
      <c r="L4" s="201">
        <f>Model!H$51</f>
        <v>27478.056499999995</v>
      </c>
      <c r="M4" s="201">
        <f>Model!I$51</f>
        <v>28903.236999999997</v>
      </c>
      <c r="N4" s="201">
        <f>Model!J$51</f>
        <v>29853.18</v>
      </c>
      <c r="O4" s="201">
        <f>Model!K$51</f>
        <v>0</v>
      </c>
      <c r="P4" s="201">
        <f>Model!L$51</f>
        <v>0</v>
      </c>
      <c r="Q4" s="201">
        <f>Model!M$51</f>
        <v>0</v>
      </c>
      <c r="R4" s="201">
        <f>Model!N$51</f>
        <v>0</v>
      </c>
      <c r="S4" s="201">
        <f>Model!R$51</f>
        <v>25000</v>
      </c>
      <c r="T4" s="204" t="str">
        <f t="shared" si="6"/>
        <v/>
      </c>
      <c r="U4" s="204" t="str">
        <f t="shared" si="7"/>
        <v/>
      </c>
      <c r="V4" s="204" t="str">
        <f t="shared" si="8"/>
        <v/>
      </c>
      <c r="W4" s="204" t="str">
        <f t="shared" si="4"/>
        <v/>
      </c>
      <c r="X4" s="204" t="str">
        <f t="shared" si="4"/>
        <v/>
      </c>
      <c r="Y4" s="204" t="str">
        <f t="shared" si="4"/>
        <v/>
      </c>
      <c r="Z4" s="204" t="str">
        <f t="shared" si="4"/>
        <v/>
      </c>
      <c r="AA4" s="204" t="str">
        <f t="shared" si="4"/>
        <v/>
      </c>
      <c r="AB4" s="204" t="str">
        <f t="shared" si="4"/>
        <v/>
      </c>
      <c r="AC4" s="204" t="str">
        <f t="shared" si="4"/>
        <v/>
      </c>
      <c r="AE4" s="195">
        <v>2</v>
      </c>
      <c r="AF4" s="195">
        <f>Inputs!C$39</f>
        <v>28</v>
      </c>
      <c r="AG4" s="195">
        <v>28</v>
      </c>
      <c r="AH4" s="144">
        <f>IF(AF4=AG4,0,Model!H$35/(AG4-AF4))</f>
        <v>0</v>
      </c>
      <c r="AI4" s="195">
        <f>IF(AF4=AG4,0,Landings1!C$5/(AG4-AF4))</f>
        <v>0</v>
      </c>
      <c r="AJ4" s="195">
        <f>IF(AF3=AG3,0,Landings1!C$6/(AG3-AF3))</f>
        <v>0</v>
      </c>
    </row>
    <row r="5" spans="1:36" x14ac:dyDescent="0.3">
      <c r="A5" s="202">
        <v>41278</v>
      </c>
      <c r="B5" s="203">
        <f t="shared" si="5"/>
        <v>1</v>
      </c>
      <c r="C5" s="203">
        <f t="shared" si="0"/>
        <v>0</v>
      </c>
      <c r="D5" s="201">
        <f t="shared" si="1"/>
        <v>0</v>
      </c>
      <c r="E5" s="201">
        <f t="shared" si="2"/>
        <v>0</v>
      </c>
      <c r="F5" s="201">
        <f t="shared" si="3"/>
        <v>0</v>
      </c>
      <c r="G5" s="201">
        <f>SUM(D$2:D5)</f>
        <v>0</v>
      </c>
      <c r="H5" s="201">
        <f>SUM(E$2:E5)</f>
        <v>0</v>
      </c>
      <c r="I5" s="201">
        <f>SUM(F$2:F5)</f>
        <v>0</v>
      </c>
      <c r="J5" s="201">
        <f>Model!F$51</f>
        <v>23678.322499999998</v>
      </c>
      <c r="K5" s="201">
        <f>Model!G$51</f>
        <v>26052.648000000005</v>
      </c>
      <c r="L5" s="201">
        <f>Model!H$51</f>
        <v>27478.056499999995</v>
      </c>
      <c r="M5" s="201">
        <f>Model!I$51</f>
        <v>28903.236999999997</v>
      </c>
      <c r="N5" s="201">
        <f>Model!J$51</f>
        <v>29853.18</v>
      </c>
      <c r="O5" s="201">
        <f>Model!K$51</f>
        <v>0</v>
      </c>
      <c r="P5" s="201">
        <f>Model!L$51</f>
        <v>0</v>
      </c>
      <c r="Q5" s="201">
        <f>Model!M$51</f>
        <v>0</v>
      </c>
      <c r="R5" s="201">
        <f>Model!N$51</f>
        <v>0</v>
      </c>
      <c r="S5" s="201">
        <f>Model!R$51</f>
        <v>25000</v>
      </c>
      <c r="T5" s="204" t="str">
        <f t="shared" si="6"/>
        <v/>
      </c>
      <c r="U5" s="204" t="str">
        <f t="shared" si="7"/>
        <v/>
      </c>
      <c r="V5" s="204" t="str">
        <f t="shared" si="8"/>
        <v/>
      </c>
      <c r="W5" s="204" t="str">
        <f t="shared" si="4"/>
        <v/>
      </c>
      <c r="X5" s="204" t="str">
        <f t="shared" si="4"/>
        <v/>
      </c>
      <c r="Y5" s="204" t="str">
        <f t="shared" si="4"/>
        <v/>
      </c>
      <c r="Z5" s="204" t="str">
        <f t="shared" si="4"/>
        <v/>
      </c>
      <c r="AA5" s="204" t="str">
        <f t="shared" si="4"/>
        <v/>
      </c>
      <c r="AB5" s="204" t="str">
        <f t="shared" si="4"/>
        <v/>
      </c>
      <c r="AC5" s="204" t="str">
        <f t="shared" si="4"/>
        <v/>
      </c>
      <c r="AE5" s="195">
        <v>3</v>
      </c>
      <c r="AF5" s="195">
        <f>Inputs!D$39</f>
        <v>31</v>
      </c>
      <c r="AG5" s="195">
        <v>31</v>
      </c>
      <c r="AH5" s="144">
        <f>IF(AF5=AG5,0,Model!I$35/(AG5-AF5))</f>
        <v>0</v>
      </c>
      <c r="AI5" s="195">
        <f>IF(AF5=AG5,0,Landings1!D$5/(AG5-AF5))</f>
        <v>0</v>
      </c>
      <c r="AJ5" s="195">
        <f>IF(AF4=AG4,0,Landings1!D$6/(AG4-AF4))</f>
        <v>0</v>
      </c>
    </row>
    <row r="6" spans="1:36" x14ac:dyDescent="0.3">
      <c r="A6" s="202">
        <v>41279</v>
      </c>
      <c r="B6" s="203">
        <f t="shared" si="5"/>
        <v>1</v>
      </c>
      <c r="C6" s="203">
        <f t="shared" si="0"/>
        <v>0</v>
      </c>
      <c r="D6" s="201">
        <f t="shared" si="1"/>
        <v>0</v>
      </c>
      <c r="E6" s="201">
        <f t="shared" si="2"/>
        <v>0</v>
      </c>
      <c r="F6" s="201">
        <f t="shared" si="3"/>
        <v>0</v>
      </c>
      <c r="G6" s="201">
        <f>SUM(D$2:D6)</f>
        <v>0</v>
      </c>
      <c r="H6" s="201">
        <f>SUM(E$2:E6)</f>
        <v>0</v>
      </c>
      <c r="I6" s="201">
        <f>SUM(F$2:F6)</f>
        <v>0</v>
      </c>
      <c r="J6" s="201">
        <f>Model!F$51</f>
        <v>23678.322499999998</v>
      </c>
      <c r="K6" s="201">
        <f>Model!G$51</f>
        <v>26052.648000000005</v>
      </c>
      <c r="L6" s="201">
        <f>Model!H$51</f>
        <v>27478.056499999995</v>
      </c>
      <c r="M6" s="201">
        <f>Model!I$51</f>
        <v>28903.236999999997</v>
      </c>
      <c r="N6" s="201">
        <f>Model!J$51</f>
        <v>29853.18</v>
      </c>
      <c r="O6" s="201">
        <f>Model!K$51</f>
        <v>0</v>
      </c>
      <c r="P6" s="201">
        <f>Model!L$51</f>
        <v>0</v>
      </c>
      <c r="Q6" s="201">
        <f>Model!M$51</f>
        <v>0</v>
      </c>
      <c r="R6" s="201">
        <f>Model!N$51</f>
        <v>0</v>
      </c>
      <c r="S6" s="201">
        <f>Model!R$51</f>
        <v>25000</v>
      </c>
      <c r="T6" s="204" t="str">
        <f t="shared" si="6"/>
        <v/>
      </c>
      <c r="U6" s="204" t="str">
        <f t="shared" si="7"/>
        <v/>
      </c>
      <c r="V6" s="204" t="str">
        <f t="shared" si="8"/>
        <v/>
      </c>
      <c r="W6" s="204" t="str">
        <f t="shared" si="4"/>
        <v/>
      </c>
      <c r="X6" s="204" t="str">
        <f t="shared" si="4"/>
        <v/>
      </c>
      <c r="Y6" s="204" t="str">
        <f t="shared" si="4"/>
        <v/>
      </c>
      <c r="Z6" s="204" t="str">
        <f t="shared" si="4"/>
        <v/>
      </c>
      <c r="AA6" s="204" t="str">
        <f t="shared" si="4"/>
        <v/>
      </c>
      <c r="AB6" s="204" t="str">
        <f t="shared" si="4"/>
        <v/>
      </c>
      <c r="AC6" s="204" t="str">
        <f t="shared" si="4"/>
        <v/>
      </c>
      <c r="AE6" s="195">
        <v>4</v>
      </c>
      <c r="AF6" s="195">
        <f>Inputs!E$39</f>
        <v>30</v>
      </c>
      <c r="AG6" s="195">
        <v>30</v>
      </c>
      <c r="AH6" s="144">
        <f>IF(AF6=AG6,0,Model!J$35/(AG6-AF6))</f>
        <v>0</v>
      </c>
      <c r="AI6" s="195">
        <f>IF(AF6=AG6,0,Landings1!E$5/(AG6-AF6))</f>
        <v>0</v>
      </c>
      <c r="AJ6" s="195">
        <f>IF(AF5=AG5,0,Landings1!E$6/(AG5-AF5))</f>
        <v>0</v>
      </c>
    </row>
    <row r="7" spans="1:36" x14ac:dyDescent="0.3">
      <c r="A7" s="202">
        <v>41280</v>
      </c>
      <c r="B7" s="203">
        <f t="shared" si="5"/>
        <v>1</v>
      </c>
      <c r="C7" s="203">
        <f t="shared" si="0"/>
        <v>0</v>
      </c>
      <c r="D7" s="201">
        <f t="shared" si="1"/>
        <v>0</v>
      </c>
      <c r="E7" s="201">
        <f t="shared" si="2"/>
        <v>0</v>
      </c>
      <c r="F7" s="201">
        <f t="shared" si="3"/>
        <v>0</v>
      </c>
      <c r="G7" s="201">
        <f>SUM(D$2:D7)</f>
        <v>0</v>
      </c>
      <c r="H7" s="201">
        <f>SUM(E$2:E7)</f>
        <v>0</v>
      </c>
      <c r="I7" s="201">
        <f>SUM(F$2:F7)</f>
        <v>0</v>
      </c>
      <c r="J7" s="201">
        <f>Model!F$51</f>
        <v>23678.322499999998</v>
      </c>
      <c r="K7" s="201">
        <f>Model!G$51</f>
        <v>26052.648000000005</v>
      </c>
      <c r="L7" s="201">
        <f>Model!H$51</f>
        <v>27478.056499999995</v>
      </c>
      <c r="M7" s="201">
        <f>Model!I$51</f>
        <v>28903.236999999997</v>
      </c>
      <c r="N7" s="201">
        <f>Model!J$51</f>
        <v>29853.18</v>
      </c>
      <c r="O7" s="201">
        <f>Model!K$51</f>
        <v>0</v>
      </c>
      <c r="P7" s="201">
        <f>Model!L$51</f>
        <v>0</v>
      </c>
      <c r="Q7" s="201">
        <f>Model!M$51</f>
        <v>0</v>
      </c>
      <c r="R7" s="201">
        <f>Model!N$51</f>
        <v>0</v>
      </c>
      <c r="S7" s="201">
        <f>Model!R$51</f>
        <v>25000</v>
      </c>
      <c r="T7" s="204" t="str">
        <f t="shared" si="6"/>
        <v/>
      </c>
      <c r="U7" s="204" t="str">
        <f t="shared" si="7"/>
        <v/>
      </c>
      <c r="V7" s="204" t="str">
        <f t="shared" si="8"/>
        <v/>
      </c>
      <c r="W7" s="204" t="str">
        <f t="shared" si="4"/>
        <v/>
      </c>
      <c r="X7" s="204" t="str">
        <f t="shared" si="4"/>
        <v/>
      </c>
      <c r="Y7" s="204" t="str">
        <f t="shared" si="4"/>
        <v/>
      </c>
      <c r="Z7" s="204" t="str">
        <f t="shared" si="4"/>
        <v/>
      </c>
      <c r="AA7" s="204" t="str">
        <f t="shared" si="4"/>
        <v/>
      </c>
      <c r="AB7" s="204" t="str">
        <f t="shared" si="4"/>
        <v/>
      </c>
      <c r="AC7" s="204" t="str">
        <f t="shared" si="4"/>
        <v/>
      </c>
      <c r="AE7" s="195">
        <v>5</v>
      </c>
      <c r="AF7" s="195">
        <f>Inputs!F$39</f>
        <v>0</v>
      </c>
      <c r="AG7" s="195">
        <v>31</v>
      </c>
      <c r="AH7" s="144">
        <f>IF(AF7=AG7,0,Model!K$35/(AG7-AF7))</f>
        <v>217.34190322580645</v>
      </c>
      <c r="AI7" s="195">
        <f>IF(AF7=AG7,0,Landings1!F$5/(AG7-AF7))</f>
        <v>271.86164516129031</v>
      </c>
      <c r="AJ7" s="195">
        <f>IF(AF6=AG6,0,Landings1!F$6/(AG6-AF6))</f>
        <v>0</v>
      </c>
    </row>
    <row r="8" spans="1:36" x14ac:dyDescent="0.3">
      <c r="A8" s="202">
        <v>41281</v>
      </c>
      <c r="B8" s="203">
        <f t="shared" si="5"/>
        <v>1</v>
      </c>
      <c r="C8" s="203">
        <f t="shared" si="0"/>
        <v>0</v>
      </c>
      <c r="D8" s="201">
        <f t="shared" si="1"/>
        <v>0</v>
      </c>
      <c r="E8" s="201">
        <f t="shared" si="2"/>
        <v>0</v>
      </c>
      <c r="F8" s="201">
        <f t="shared" si="3"/>
        <v>0</v>
      </c>
      <c r="G8" s="201">
        <f>SUM(D$2:D8)</f>
        <v>0</v>
      </c>
      <c r="H8" s="201">
        <f>SUM(E$2:E8)</f>
        <v>0</v>
      </c>
      <c r="I8" s="201">
        <f>SUM(F$2:F8)</f>
        <v>0</v>
      </c>
      <c r="J8" s="201">
        <f>Model!F$51</f>
        <v>23678.322499999998</v>
      </c>
      <c r="K8" s="201">
        <f>Model!G$51</f>
        <v>26052.648000000005</v>
      </c>
      <c r="L8" s="201">
        <f>Model!H$51</f>
        <v>27478.056499999995</v>
      </c>
      <c r="M8" s="201">
        <f>Model!I$51</f>
        <v>28903.236999999997</v>
      </c>
      <c r="N8" s="201">
        <f>Model!J$51</f>
        <v>29853.18</v>
      </c>
      <c r="O8" s="201">
        <f>Model!K$51</f>
        <v>0</v>
      </c>
      <c r="P8" s="201">
        <f>Model!L$51</f>
        <v>0</v>
      </c>
      <c r="Q8" s="201">
        <f>Model!M$51</f>
        <v>0</v>
      </c>
      <c r="R8" s="201">
        <f>Model!N$51</f>
        <v>0</v>
      </c>
      <c r="S8" s="201">
        <f>Model!R$51</f>
        <v>25000</v>
      </c>
      <c r="T8" s="204" t="str">
        <f t="shared" si="6"/>
        <v/>
      </c>
      <c r="U8" s="204" t="str">
        <f t="shared" si="7"/>
        <v/>
      </c>
      <c r="V8" s="204" t="str">
        <f t="shared" si="8"/>
        <v/>
      </c>
      <c r="W8" s="204" t="str">
        <f t="shared" si="4"/>
        <v/>
      </c>
      <c r="X8" s="204" t="str">
        <f t="shared" si="4"/>
        <v/>
      </c>
      <c r="Y8" s="204" t="str">
        <f t="shared" si="4"/>
        <v/>
      </c>
      <c r="Z8" s="204" t="str">
        <f t="shared" si="4"/>
        <v/>
      </c>
      <c r="AA8" s="204" t="str">
        <f t="shared" si="4"/>
        <v/>
      </c>
      <c r="AB8" s="204" t="str">
        <f t="shared" si="4"/>
        <v/>
      </c>
      <c r="AC8" s="204" t="str">
        <f t="shared" si="4"/>
        <v/>
      </c>
      <c r="AE8" s="195">
        <v>6</v>
      </c>
      <c r="AF8" s="195">
        <f>Inputs!G$39</f>
        <v>0</v>
      </c>
      <c r="AG8" s="195">
        <v>30</v>
      </c>
      <c r="AH8" s="144">
        <f>IF(AF8=AG8,0,Model!L$35/(AG8-AF8))</f>
        <v>217.34188666666665</v>
      </c>
      <c r="AI8" s="195">
        <f>IF(AF8=AG8,0,Landings1!G$5/(AG8-AF8))</f>
        <v>271.86163999999997</v>
      </c>
      <c r="AJ8" s="195">
        <f>IF(AF7=AG7,0,Landings1!G$6/(AG7-AF7))</f>
        <v>157.56981290322582</v>
      </c>
    </row>
    <row r="9" spans="1:36" x14ac:dyDescent="0.3">
      <c r="A9" s="202">
        <v>41282</v>
      </c>
      <c r="B9" s="203">
        <f t="shared" si="5"/>
        <v>1</v>
      </c>
      <c r="C9" s="203">
        <f t="shared" si="0"/>
        <v>0</v>
      </c>
      <c r="D9" s="201">
        <f t="shared" si="1"/>
        <v>0</v>
      </c>
      <c r="E9" s="201">
        <f t="shared" si="2"/>
        <v>0</v>
      </c>
      <c r="F9" s="201">
        <f t="shared" si="3"/>
        <v>0</v>
      </c>
      <c r="G9" s="201">
        <f>SUM(D$2:D9)</f>
        <v>0</v>
      </c>
      <c r="H9" s="201">
        <f>SUM(E$2:E9)</f>
        <v>0</v>
      </c>
      <c r="I9" s="201">
        <f>SUM(F$2:F9)</f>
        <v>0</v>
      </c>
      <c r="J9" s="201">
        <f>Model!F$51</f>
        <v>23678.322499999998</v>
      </c>
      <c r="K9" s="201">
        <f>Model!G$51</f>
        <v>26052.648000000005</v>
      </c>
      <c r="L9" s="201">
        <f>Model!H$51</f>
        <v>27478.056499999995</v>
      </c>
      <c r="M9" s="201">
        <f>Model!I$51</f>
        <v>28903.236999999997</v>
      </c>
      <c r="N9" s="201">
        <f>Model!J$51</f>
        <v>29853.18</v>
      </c>
      <c r="O9" s="201">
        <f>Model!K$51</f>
        <v>0</v>
      </c>
      <c r="P9" s="201">
        <f>Model!L$51</f>
        <v>0</v>
      </c>
      <c r="Q9" s="201">
        <f>Model!M$51</f>
        <v>0</v>
      </c>
      <c r="R9" s="201">
        <f>Model!N$51</f>
        <v>0</v>
      </c>
      <c r="S9" s="201">
        <f>Model!R$51</f>
        <v>25000</v>
      </c>
      <c r="T9" s="204" t="str">
        <f t="shared" si="6"/>
        <v/>
      </c>
      <c r="U9" s="204" t="str">
        <f t="shared" si="7"/>
        <v/>
      </c>
      <c r="V9" s="204" t="str">
        <f t="shared" si="8"/>
        <v/>
      </c>
      <c r="W9" s="204" t="str">
        <f t="shared" si="4"/>
        <v/>
      </c>
      <c r="X9" s="204" t="str">
        <f t="shared" si="4"/>
        <v/>
      </c>
      <c r="Y9" s="204" t="str">
        <f t="shared" si="4"/>
        <v/>
      </c>
      <c r="Z9" s="204" t="str">
        <f t="shared" si="4"/>
        <v/>
      </c>
      <c r="AA9" s="204" t="str">
        <f t="shared" si="4"/>
        <v/>
      </c>
      <c r="AB9" s="204" t="str">
        <f t="shared" si="4"/>
        <v/>
      </c>
      <c r="AC9" s="204" t="str">
        <f t="shared" si="4"/>
        <v/>
      </c>
      <c r="AE9" s="195">
        <v>7</v>
      </c>
      <c r="AF9" s="195">
        <f>Inputs!H$39</f>
        <v>0</v>
      </c>
      <c r="AG9" s="195">
        <v>31</v>
      </c>
      <c r="AH9" s="144">
        <f>IF(AF9=AG9,0,Model!M$35/(AG9-AF9))</f>
        <v>238.75469677419355</v>
      </c>
      <c r="AI9" s="195">
        <f>IF(AF9=AG9,0,Landings1!H$5/(AG9-AF9))</f>
        <v>340.90005161290321</v>
      </c>
      <c r="AJ9" s="195">
        <f>IF(AF8=AG8,0,Landings1!H$6/(AG8-AF8))</f>
        <v>141.16298999999998</v>
      </c>
    </row>
    <row r="10" spans="1:36" x14ac:dyDescent="0.3">
      <c r="A10" s="202">
        <v>41283</v>
      </c>
      <c r="B10" s="203">
        <f t="shared" si="5"/>
        <v>1</v>
      </c>
      <c r="C10" s="203">
        <f t="shared" si="0"/>
        <v>0</v>
      </c>
      <c r="D10" s="201">
        <f t="shared" si="1"/>
        <v>0</v>
      </c>
      <c r="E10" s="201">
        <f t="shared" si="2"/>
        <v>0</v>
      </c>
      <c r="F10" s="201">
        <f t="shared" si="3"/>
        <v>0</v>
      </c>
      <c r="G10" s="201">
        <f>SUM(D$2:D10)</f>
        <v>0</v>
      </c>
      <c r="H10" s="201">
        <f>SUM(E$2:E10)</f>
        <v>0</v>
      </c>
      <c r="I10" s="201">
        <f>SUM(F$2:F10)</f>
        <v>0</v>
      </c>
      <c r="J10" s="201">
        <f>Model!F$51</f>
        <v>23678.322499999998</v>
      </c>
      <c r="K10" s="201">
        <f>Model!G$51</f>
        <v>26052.648000000005</v>
      </c>
      <c r="L10" s="201">
        <f>Model!H$51</f>
        <v>27478.056499999995</v>
      </c>
      <c r="M10" s="201">
        <f>Model!I$51</f>
        <v>28903.236999999997</v>
      </c>
      <c r="N10" s="201">
        <f>Model!J$51</f>
        <v>29853.18</v>
      </c>
      <c r="O10" s="201">
        <f>Model!K$51</f>
        <v>0</v>
      </c>
      <c r="P10" s="201">
        <f>Model!L$51</f>
        <v>0</v>
      </c>
      <c r="Q10" s="201">
        <f>Model!M$51</f>
        <v>0</v>
      </c>
      <c r="R10" s="201">
        <f>Model!N$51</f>
        <v>0</v>
      </c>
      <c r="S10" s="201">
        <f>Model!R$51</f>
        <v>25000</v>
      </c>
      <c r="T10" s="204" t="str">
        <f t="shared" si="6"/>
        <v/>
      </c>
      <c r="U10" s="204" t="str">
        <f t="shared" si="7"/>
        <v/>
      </c>
      <c r="V10" s="204" t="str">
        <f t="shared" si="8"/>
        <v/>
      </c>
      <c r="W10" s="204" t="str">
        <f t="shared" si="4"/>
        <v/>
      </c>
      <c r="X10" s="204" t="str">
        <f t="shared" si="4"/>
        <v/>
      </c>
      <c r="Y10" s="204" t="str">
        <f t="shared" si="4"/>
        <v/>
      </c>
      <c r="Z10" s="204" t="str">
        <f t="shared" si="4"/>
        <v/>
      </c>
      <c r="AA10" s="204" t="str">
        <f t="shared" si="4"/>
        <v/>
      </c>
      <c r="AB10" s="204" t="str">
        <f t="shared" si="4"/>
        <v/>
      </c>
      <c r="AC10" s="204" t="str">
        <f t="shared" si="4"/>
        <v/>
      </c>
      <c r="AE10" s="195">
        <v>8</v>
      </c>
      <c r="AF10" s="195">
        <f>Inputs!I$39</f>
        <v>0</v>
      </c>
      <c r="AG10" s="195">
        <v>31</v>
      </c>
      <c r="AH10" s="144">
        <f>IF(AF10=AG10,0,Model!N$35/(AG10-AF10))</f>
        <v>238.75469677419355</v>
      </c>
      <c r="AI10" s="195">
        <f>IF(AF10=AG10,0,Landings1!I$5/(AG10-AF10))</f>
        <v>340.90005161290321</v>
      </c>
      <c r="AJ10" s="195">
        <f>IF(AF9=AG9,0,Landings1!I$6/(AG9-AF9))</f>
        <v>136.60934516129032</v>
      </c>
    </row>
    <row r="11" spans="1:36" x14ac:dyDescent="0.3">
      <c r="A11" s="202">
        <v>41284</v>
      </c>
      <c r="B11" s="203">
        <f t="shared" si="5"/>
        <v>1</v>
      </c>
      <c r="C11" s="203">
        <f t="shared" si="0"/>
        <v>0</v>
      </c>
      <c r="D11" s="201">
        <f t="shared" si="1"/>
        <v>0</v>
      </c>
      <c r="E11" s="201">
        <f t="shared" si="2"/>
        <v>0</v>
      </c>
      <c r="F11" s="201">
        <f t="shared" si="3"/>
        <v>0</v>
      </c>
      <c r="G11" s="201">
        <f>SUM(D$2:D11)</f>
        <v>0</v>
      </c>
      <c r="H11" s="201">
        <f>SUM(E$2:E11)</f>
        <v>0</v>
      </c>
      <c r="I11" s="201">
        <f>SUM(F$2:F11)</f>
        <v>0</v>
      </c>
      <c r="J11" s="201">
        <f>Model!F$51</f>
        <v>23678.322499999998</v>
      </c>
      <c r="K11" s="201">
        <f>Model!G$51</f>
        <v>26052.648000000005</v>
      </c>
      <c r="L11" s="201">
        <f>Model!H$51</f>
        <v>27478.056499999995</v>
      </c>
      <c r="M11" s="201">
        <f>Model!I$51</f>
        <v>28903.236999999997</v>
      </c>
      <c r="N11" s="201">
        <f>Model!J$51</f>
        <v>29853.18</v>
      </c>
      <c r="O11" s="201">
        <f>Model!K$51</f>
        <v>0</v>
      </c>
      <c r="P11" s="201">
        <f>Model!L$51</f>
        <v>0</v>
      </c>
      <c r="Q11" s="201">
        <f>Model!M$51</f>
        <v>0</v>
      </c>
      <c r="R11" s="201">
        <f>Model!N$51</f>
        <v>0</v>
      </c>
      <c r="S11" s="201">
        <f>Model!R$51</f>
        <v>25000</v>
      </c>
      <c r="T11" s="204" t="str">
        <f t="shared" si="6"/>
        <v/>
      </c>
      <c r="U11" s="204" t="str">
        <f t="shared" si="7"/>
        <v/>
      </c>
      <c r="V11" s="204" t="str">
        <f t="shared" si="8"/>
        <v/>
      </c>
      <c r="W11" s="204" t="str">
        <f t="shared" si="4"/>
        <v/>
      </c>
      <c r="X11" s="204" t="str">
        <f t="shared" si="4"/>
        <v/>
      </c>
      <c r="Y11" s="204" t="str">
        <f t="shared" si="4"/>
        <v/>
      </c>
      <c r="Z11" s="204" t="str">
        <f t="shared" si="4"/>
        <v/>
      </c>
      <c r="AA11" s="204" t="str">
        <f t="shared" si="4"/>
        <v/>
      </c>
      <c r="AB11" s="204" t="str">
        <f t="shared" si="4"/>
        <v/>
      </c>
      <c r="AC11" s="204" t="str">
        <f t="shared" si="4"/>
        <v/>
      </c>
      <c r="AE11" s="195">
        <v>9</v>
      </c>
      <c r="AF11" s="195">
        <f>Inputs!J$39</f>
        <v>0</v>
      </c>
      <c r="AG11" s="195">
        <v>30</v>
      </c>
      <c r="AH11" s="144">
        <f>IF(AF11=AG11,0,Model!O$35/(AG11-AF11))</f>
        <v>27.116099999999999</v>
      </c>
      <c r="AI11" s="195">
        <f>IF(AF11=AG11,0,Landings1!J$5/(AG11-AF11))</f>
        <v>36.5152</v>
      </c>
      <c r="AJ11" s="195">
        <f>IF(AF10=AG10,0,Landings1!J$6/(AG10-AF10))</f>
        <v>17.145487096774193</v>
      </c>
    </row>
    <row r="12" spans="1:36" x14ac:dyDescent="0.3">
      <c r="A12" s="202">
        <v>41285</v>
      </c>
      <c r="B12" s="203">
        <f t="shared" si="5"/>
        <v>1</v>
      </c>
      <c r="C12" s="203">
        <f t="shared" si="0"/>
        <v>0</v>
      </c>
      <c r="D12" s="201">
        <f t="shared" si="1"/>
        <v>0</v>
      </c>
      <c r="E12" s="201">
        <f t="shared" si="2"/>
        <v>0</v>
      </c>
      <c r="F12" s="201">
        <f t="shared" si="3"/>
        <v>0</v>
      </c>
      <c r="G12" s="201">
        <f>SUM(D$2:D12)</f>
        <v>0</v>
      </c>
      <c r="H12" s="201">
        <f>SUM(E$2:E12)</f>
        <v>0</v>
      </c>
      <c r="I12" s="201">
        <f>SUM(F$2:F12)</f>
        <v>0</v>
      </c>
      <c r="J12" s="201">
        <f>Model!F$51</f>
        <v>23678.322499999998</v>
      </c>
      <c r="K12" s="201">
        <f>Model!G$51</f>
        <v>26052.648000000005</v>
      </c>
      <c r="L12" s="201">
        <f>Model!H$51</f>
        <v>27478.056499999995</v>
      </c>
      <c r="M12" s="201">
        <f>Model!I$51</f>
        <v>28903.236999999997</v>
      </c>
      <c r="N12" s="201">
        <f>Model!J$51</f>
        <v>29853.18</v>
      </c>
      <c r="O12" s="201">
        <f>Model!K$51</f>
        <v>0</v>
      </c>
      <c r="P12" s="201">
        <f>Model!L$51</f>
        <v>0</v>
      </c>
      <c r="Q12" s="201">
        <f>Model!M$51</f>
        <v>0</v>
      </c>
      <c r="R12" s="201">
        <f>Model!N$51</f>
        <v>0</v>
      </c>
      <c r="S12" s="201">
        <f>Model!R$51</f>
        <v>25000</v>
      </c>
      <c r="T12" s="204" t="str">
        <f t="shared" si="6"/>
        <v/>
      </c>
      <c r="U12" s="204" t="str">
        <f t="shared" si="7"/>
        <v/>
      </c>
      <c r="V12" s="204" t="str">
        <f t="shared" si="8"/>
        <v/>
      </c>
      <c r="W12" s="204" t="str">
        <f t="shared" si="4"/>
        <v/>
      </c>
      <c r="X12" s="204" t="str">
        <f t="shared" si="4"/>
        <v/>
      </c>
      <c r="Y12" s="204" t="str">
        <f t="shared" si="4"/>
        <v/>
      </c>
      <c r="Z12" s="204" t="str">
        <f t="shared" si="4"/>
        <v/>
      </c>
      <c r="AA12" s="204" t="str">
        <f t="shared" si="4"/>
        <v/>
      </c>
      <c r="AB12" s="204" t="str">
        <f t="shared" si="4"/>
        <v/>
      </c>
      <c r="AC12" s="204" t="str">
        <f t="shared" si="4"/>
        <v/>
      </c>
      <c r="AE12" s="195">
        <v>10</v>
      </c>
      <c r="AF12" s="195">
        <f>Inputs!K$39</f>
        <v>0</v>
      </c>
      <c r="AG12" s="195">
        <v>31</v>
      </c>
      <c r="AH12" s="144">
        <f>IF(AF12=AG12,0,Model!P$35/(AG12-AF12))</f>
        <v>27.116103225806452</v>
      </c>
      <c r="AI12" s="195">
        <f>IF(AF12=AG12,0,Landings1!K$5/(AG12-AF12))</f>
        <v>36.5152</v>
      </c>
      <c r="AJ12" s="195">
        <f>IF(AF11=AG11,0,Landings1!K$6/(AG11-AF11))</f>
        <v>18.307569999999998</v>
      </c>
    </row>
    <row r="13" spans="1:36" x14ac:dyDescent="0.3">
      <c r="A13" s="202">
        <v>41286</v>
      </c>
      <c r="B13" s="203">
        <f t="shared" si="5"/>
        <v>1</v>
      </c>
      <c r="C13" s="203">
        <f t="shared" si="0"/>
        <v>0</v>
      </c>
      <c r="D13" s="201">
        <f t="shared" si="1"/>
        <v>0</v>
      </c>
      <c r="E13" s="201">
        <f t="shared" si="2"/>
        <v>0</v>
      </c>
      <c r="F13" s="201">
        <f t="shared" si="3"/>
        <v>0</v>
      </c>
      <c r="G13" s="201">
        <f>SUM(D$2:D13)</f>
        <v>0</v>
      </c>
      <c r="H13" s="201">
        <f>SUM(E$2:E13)</f>
        <v>0</v>
      </c>
      <c r="I13" s="201">
        <f>SUM(F$2:F13)</f>
        <v>0</v>
      </c>
      <c r="J13" s="201">
        <f>Model!F$51</f>
        <v>23678.322499999998</v>
      </c>
      <c r="K13" s="201">
        <f>Model!G$51</f>
        <v>26052.648000000005</v>
      </c>
      <c r="L13" s="201">
        <f>Model!H$51</f>
        <v>27478.056499999995</v>
      </c>
      <c r="M13" s="201">
        <f>Model!I$51</f>
        <v>28903.236999999997</v>
      </c>
      <c r="N13" s="201">
        <f>Model!J$51</f>
        <v>29853.18</v>
      </c>
      <c r="O13" s="201">
        <f>Model!K$51</f>
        <v>0</v>
      </c>
      <c r="P13" s="201">
        <f>Model!L$51</f>
        <v>0</v>
      </c>
      <c r="Q13" s="201">
        <f>Model!M$51</f>
        <v>0</v>
      </c>
      <c r="R13" s="201">
        <f>Model!N$51</f>
        <v>0</v>
      </c>
      <c r="S13" s="201">
        <f>Model!R$51</f>
        <v>25000</v>
      </c>
      <c r="T13" s="204" t="str">
        <f t="shared" si="6"/>
        <v/>
      </c>
      <c r="U13" s="204" t="str">
        <f t="shared" si="7"/>
        <v/>
      </c>
      <c r="V13" s="204" t="str">
        <f t="shared" si="8"/>
        <v/>
      </c>
      <c r="W13" s="204" t="str">
        <f t="shared" si="4"/>
        <v/>
      </c>
      <c r="X13" s="204" t="str">
        <f t="shared" si="4"/>
        <v/>
      </c>
      <c r="Y13" s="204" t="str">
        <f t="shared" si="4"/>
        <v/>
      </c>
      <c r="Z13" s="204" t="str">
        <f t="shared" si="4"/>
        <v/>
      </c>
      <c r="AA13" s="204" t="str">
        <f t="shared" si="4"/>
        <v/>
      </c>
      <c r="AB13" s="204" t="str">
        <f t="shared" si="4"/>
        <v/>
      </c>
      <c r="AC13" s="204" t="str">
        <f t="shared" si="4"/>
        <v/>
      </c>
      <c r="AE13" s="195">
        <v>11</v>
      </c>
      <c r="AF13" s="195">
        <f>Inputs!L$39</f>
        <v>0</v>
      </c>
      <c r="AG13" s="195">
        <v>30</v>
      </c>
      <c r="AH13" s="144">
        <f>IF(AF13=AG13,0,Model!Q$35/(AG13-AF13))</f>
        <v>7.0378833333333342</v>
      </c>
      <c r="AI13" s="195">
        <f>IF(AF13=AG13,0,Landings1!L$5/(AG13-AF13))</f>
        <v>9.3421633333333336</v>
      </c>
      <c r="AJ13" s="195">
        <f>IF(AF12=AG12,0,Landings1!L$6/(AG12-AF12))</f>
        <v>4.5809096774193545</v>
      </c>
    </row>
    <row r="14" spans="1:36" x14ac:dyDescent="0.3">
      <c r="A14" s="202">
        <v>41287</v>
      </c>
      <c r="B14" s="203">
        <f t="shared" si="5"/>
        <v>1</v>
      </c>
      <c r="C14" s="203">
        <f t="shared" si="0"/>
        <v>0</v>
      </c>
      <c r="D14" s="201">
        <f t="shared" si="1"/>
        <v>0</v>
      </c>
      <c r="E14" s="201">
        <f t="shared" si="2"/>
        <v>0</v>
      </c>
      <c r="F14" s="201">
        <f t="shared" si="3"/>
        <v>0</v>
      </c>
      <c r="G14" s="201">
        <f>SUM(D$2:D14)</f>
        <v>0</v>
      </c>
      <c r="H14" s="201">
        <f>SUM(E$2:E14)</f>
        <v>0</v>
      </c>
      <c r="I14" s="201">
        <f>SUM(F$2:F14)</f>
        <v>0</v>
      </c>
      <c r="J14" s="201">
        <f>Model!F$51</f>
        <v>23678.322499999998</v>
      </c>
      <c r="K14" s="201">
        <f>Model!G$51</f>
        <v>26052.648000000005</v>
      </c>
      <c r="L14" s="201">
        <f>Model!H$51</f>
        <v>27478.056499999995</v>
      </c>
      <c r="M14" s="201">
        <f>Model!I$51</f>
        <v>28903.236999999997</v>
      </c>
      <c r="N14" s="201">
        <f>Model!J$51</f>
        <v>29853.18</v>
      </c>
      <c r="O14" s="201">
        <f>Model!K$51</f>
        <v>0</v>
      </c>
      <c r="P14" s="201">
        <f>Model!L$51</f>
        <v>0</v>
      </c>
      <c r="Q14" s="201">
        <f>Model!M$51</f>
        <v>0</v>
      </c>
      <c r="R14" s="201">
        <f>Model!N$51</f>
        <v>0</v>
      </c>
      <c r="S14" s="201">
        <f>Model!R$51</f>
        <v>25000</v>
      </c>
      <c r="T14" s="204" t="str">
        <f t="shared" si="6"/>
        <v/>
      </c>
      <c r="U14" s="204" t="str">
        <f t="shared" si="7"/>
        <v/>
      </c>
      <c r="V14" s="204" t="str">
        <f t="shared" si="8"/>
        <v/>
      </c>
      <c r="W14" s="204" t="str">
        <f t="shared" si="4"/>
        <v/>
      </c>
      <c r="X14" s="204" t="str">
        <f t="shared" si="4"/>
        <v/>
      </c>
      <c r="Y14" s="204" t="str">
        <f t="shared" si="4"/>
        <v/>
      </c>
      <c r="Z14" s="204" t="str">
        <f t="shared" si="4"/>
        <v/>
      </c>
      <c r="AA14" s="204" t="str">
        <f t="shared" si="4"/>
        <v/>
      </c>
      <c r="AB14" s="204" t="str">
        <f t="shared" si="4"/>
        <v/>
      </c>
      <c r="AC14" s="204" t="str">
        <f t="shared" si="4"/>
        <v/>
      </c>
      <c r="AE14" s="195">
        <v>12</v>
      </c>
      <c r="AF14" s="195">
        <f>Inputs!M$39</f>
        <v>0</v>
      </c>
      <c r="AG14" s="195">
        <v>31</v>
      </c>
      <c r="AH14" s="144">
        <f>IF(AF14=AG14,0,Model!R$35/(AG14-AF14))</f>
        <v>7.0378870967741936</v>
      </c>
      <c r="AI14" s="195">
        <f>IF(AF14=AG14,0,Landings1!M$5/(AG14-AF14))</f>
        <v>9.342161290322581</v>
      </c>
      <c r="AJ14" s="195">
        <f>IF(AF13=AG13,0,Landings1!M$6/(AG13-AF13))</f>
        <v>4.8913966666666662</v>
      </c>
    </row>
    <row r="15" spans="1:36" x14ac:dyDescent="0.3">
      <c r="A15" s="202">
        <v>41288</v>
      </c>
      <c r="B15" s="203">
        <f t="shared" si="5"/>
        <v>1</v>
      </c>
      <c r="C15" s="203">
        <f t="shared" si="0"/>
        <v>0</v>
      </c>
      <c r="D15" s="201">
        <f t="shared" si="1"/>
        <v>0</v>
      </c>
      <c r="E15" s="201">
        <f t="shared" si="2"/>
        <v>0</v>
      </c>
      <c r="F15" s="201">
        <f t="shared" si="3"/>
        <v>0</v>
      </c>
      <c r="G15" s="201">
        <f>SUM(D$2:D15)</f>
        <v>0</v>
      </c>
      <c r="H15" s="201">
        <f>SUM(E$2:E15)</f>
        <v>0</v>
      </c>
      <c r="I15" s="201">
        <f>SUM(F$2:F15)</f>
        <v>0</v>
      </c>
      <c r="J15" s="201">
        <f>Model!F$51</f>
        <v>23678.322499999998</v>
      </c>
      <c r="K15" s="201">
        <f>Model!G$51</f>
        <v>26052.648000000005</v>
      </c>
      <c r="L15" s="201">
        <f>Model!H$51</f>
        <v>27478.056499999995</v>
      </c>
      <c r="M15" s="201">
        <f>Model!I$51</f>
        <v>28903.236999999997</v>
      </c>
      <c r="N15" s="201">
        <f>Model!J$51</f>
        <v>29853.18</v>
      </c>
      <c r="O15" s="201">
        <f>Model!K$51</f>
        <v>0</v>
      </c>
      <c r="P15" s="201">
        <f>Model!L$51</f>
        <v>0</v>
      </c>
      <c r="Q15" s="201">
        <f>Model!M$51</f>
        <v>0</v>
      </c>
      <c r="R15" s="201">
        <f>Model!N$51</f>
        <v>0</v>
      </c>
      <c r="S15" s="201">
        <f>Model!R$51</f>
        <v>25000</v>
      </c>
      <c r="T15" s="204" t="str">
        <f t="shared" si="6"/>
        <v/>
      </c>
      <c r="U15" s="204" t="str">
        <f t="shared" si="7"/>
        <v/>
      </c>
      <c r="V15" s="204" t="str">
        <f t="shared" si="8"/>
        <v/>
      </c>
      <c r="W15" s="204" t="str">
        <f t="shared" si="4"/>
        <v/>
      </c>
      <c r="X15" s="204" t="str">
        <f t="shared" si="4"/>
        <v/>
      </c>
      <c r="Y15" s="204" t="str">
        <f t="shared" si="4"/>
        <v/>
      </c>
      <c r="Z15" s="204" t="str">
        <f t="shared" si="4"/>
        <v/>
      </c>
      <c r="AA15" s="204" t="str">
        <f t="shared" si="4"/>
        <v/>
      </c>
      <c r="AB15" s="204" t="str">
        <f t="shared" si="4"/>
        <v/>
      </c>
      <c r="AC15" s="204" t="str">
        <f t="shared" si="4"/>
        <v/>
      </c>
      <c r="AH15" s="144"/>
    </row>
    <row r="16" spans="1:36" x14ac:dyDescent="0.3">
      <c r="A16" s="202">
        <v>41289</v>
      </c>
      <c r="B16" s="203">
        <f t="shared" si="5"/>
        <v>1</v>
      </c>
      <c r="C16" s="203">
        <f t="shared" si="0"/>
        <v>0</v>
      </c>
      <c r="D16" s="201">
        <f t="shared" si="1"/>
        <v>0</v>
      </c>
      <c r="E16" s="201">
        <f t="shared" si="2"/>
        <v>0</v>
      </c>
      <c r="F16" s="201">
        <f t="shared" si="3"/>
        <v>0</v>
      </c>
      <c r="G16" s="201">
        <f>SUM(D$2:D16)</f>
        <v>0</v>
      </c>
      <c r="H16" s="201">
        <f>SUM(E$2:E16)</f>
        <v>0</v>
      </c>
      <c r="I16" s="201">
        <f>SUM(F$2:F16)</f>
        <v>0</v>
      </c>
      <c r="J16" s="201">
        <f>Model!F$51</f>
        <v>23678.322499999998</v>
      </c>
      <c r="K16" s="201">
        <f>Model!G$51</f>
        <v>26052.648000000005</v>
      </c>
      <c r="L16" s="201">
        <f>Model!H$51</f>
        <v>27478.056499999995</v>
      </c>
      <c r="M16" s="201">
        <f>Model!I$51</f>
        <v>28903.236999999997</v>
      </c>
      <c r="N16" s="201">
        <f>Model!J$51</f>
        <v>29853.18</v>
      </c>
      <c r="O16" s="201">
        <f>Model!K$51</f>
        <v>0</v>
      </c>
      <c r="P16" s="201">
        <f>Model!L$51</f>
        <v>0</v>
      </c>
      <c r="Q16" s="201">
        <f>Model!M$51</f>
        <v>0</v>
      </c>
      <c r="R16" s="201">
        <f>Model!N$51</f>
        <v>0</v>
      </c>
      <c r="S16" s="201">
        <f>Model!R$51</f>
        <v>25000</v>
      </c>
      <c r="T16" s="204" t="str">
        <f t="shared" si="6"/>
        <v/>
      </c>
      <c r="U16" s="204" t="str">
        <f t="shared" si="7"/>
        <v/>
      </c>
      <c r="V16" s="204" t="str">
        <f t="shared" si="8"/>
        <v/>
      </c>
      <c r="W16" s="204" t="str">
        <f t="shared" si="4"/>
        <v/>
      </c>
      <c r="X16" s="204" t="str">
        <f t="shared" si="4"/>
        <v/>
      </c>
      <c r="Y16" s="204" t="str">
        <f t="shared" si="4"/>
        <v/>
      </c>
      <c r="Z16" s="204" t="str">
        <f t="shared" si="4"/>
        <v/>
      </c>
      <c r="AA16" s="204" t="str">
        <f t="shared" si="4"/>
        <v/>
      </c>
      <c r="AB16" s="204" t="str">
        <f t="shared" si="4"/>
        <v/>
      </c>
      <c r="AC16" s="204" t="str">
        <f t="shared" si="4"/>
        <v/>
      </c>
      <c r="AE16" s="370" t="s">
        <v>206</v>
      </c>
      <c r="AF16" s="370">
        <v>2023</v>
      </c>
      <c r="AG16" s="374">
        <f>SUM(T:T)</f>
        <v>125144</v>
      </c>
    </row>
    <row r="17" spans="1:33" x14ac:dyDescent="0.3">
      <c r="A17" s="202">
        <v>41290</v>
      </c>
      <c r="B17" s="203">
        <f t="shared" si="5"/>
        <v>1</v>
      </c>
      <c r="C17" s="203">
        <f t="shared" si="0"/>
        <v>0</v>
      </c>
      <c r="D17" s="201">
        <f t="shared" si="1"/>
        <v>0</v>
      </c>
      <c r="E17" s="201">
        <f t="shared" si="2"/>
        <v>0</v>
      </c>
      <c r="F17" s="201">
        <f t="shared" si="3"/>
        <v>0</v>
      </c>
      <c r="G17" s="201">
        <f>SUM(D$2:D17)</f>
        <v>0</v>
      </c>
      <c r="H17" s="201">
        <f>SUM(E$2:E17)</f>
        <v>0</v>
      </c>
      <c r="I17" s="201">
        <f>SUM(F$2:F17)</f>
        <v>0</v>
      </c>
      <c r="J17" s="201">
        <f>Model!F$51</f>
        <v>23678.322499999998</v>
      </c>
      <c r="K17" s="201">
        <f>Model!G$51</f>
        <v>26052.648000000005</v>
      </c>
      <c r="L17" s="201">
        <f>Model!H$51</f>
        <v>27478.056499999995</v>
      </c>
      <c r="M17" s="201">
        <f>Model!I$51</f>
        <v>28903.236999999997</v>
      </c>
      <c r="N17" s="201">
        <f>Model!J$51</f>
        <v>29853.18</v>
      </c>
      <c r="O17" s="201">
        <f>Model!K$51</f>
        <v>0</v>
      </c>
      <c r="P17" s="201">
        <f>Model!L$51</f>
        <v>0</v>
      </c>
      <c r="Q17" s="201">
        <f>Model!M$51</f>
        <v>0</v>
      </c>
      <c r="R17" s="201">
        <f>Model!N$51</f>
        <v>0</v>
      </c>
      <c r="S17" s="201">
        <f>Model!R$51</f>
        <v>25000</v>
      </c>
      <c r="T17" s="204" t="str">
        <f t="shared" si="6"/>
        <v/>
      </c>
      <c r="U17" s="204" t="str">
        <f t="shared" si="7"/>
        <v/>
      </c>
      <c r="V17" s="204" t="str">
        <f t="shared" si="8"/>
        <v/>
      </c>
      <c r="W17" s="204" t="str">
        <f t="shared" si="4"/>
        <v/>
      </c>
      <c r="X17" s="204" t="str">
        <f t="shared" si="4"/>
        <v/>
      </c>
      <c r="Y17" s="204" t="str">
        <f t="shared" si="4"/>
        <v/>
      </c>
      <c r="Z17" s="204" t="str">
        <f t="shared" si="4"/>
        <v/>
      </c>
      <c r="AA17" s="204" t="str">
        <f t="shared" si="4"/>
        <v/>
      </c>
      <c r="AB17" s="204" t="str">
        <f t="shared" si="4"/>
        <v/>
      </c>
      <c r="AC17" s="204" t="str">
        <f t="shared" si="4"/>
        <v/>
      </c>
      <c r="AE17" s="370"/>
      <c r="AF17" s="370">
        <v>2027</v>
      </c>
      <c r="AG17" s="374">
        <f>SUM(U:U)</f>
        <v>124795</v>
      </c>
    </row>
    <row r="18" spans="1:33" x14ac:dyDescent="0.3">
      <c r="A18" s="202">
        <v>41291</v>
      </c>
      <c r="B18" s="203">
        <f t="shared" si="5"/>
        <v>1</v>
      </c>
      <c r="C18" s="203">
        <f t="shared" si="0"/>
        <v>0</v>
      </c>
      <c r="D18" s="201">
        <f t="shared" si="1"/>
        <v>0</v>
      </c>
      <c r="E18" s="201">
        <f t="shared" si="2"/>
        <v>0</v>
      </c>
      <c r="F18" s="201">
        <f t="shared" si="3"/>
        <v>0</v>
      </c>
      <c r="G18" s="201">
        <f>SUM(D$2:D18)</f>
        <v>0</v>
      </c>
      <c r="H18" s="201">
        <f>SUM(E$2:E18)</f>
        <v>0</v>
      </c>
      <c r="I18" s="201">
        <f>SUM(F$2:F18)</f>
        <v>0</v>
      </c>
      <c r="J18" s="201">
        <f>Model!F$51</f>
        <v>23678.322499999998</v>
      </c>
      <c r="K18" s="201">
        <f>Model!G$51</f>
        <v>26052.648000000005</v>
      </c>
      <c r="L18" s="201">
        <f>Model!H$51</f>
        <v>27478.056499999995</v>
      </c>
      <c r="M18" s="201">
        <f>Model!I$51</f>
        <v>28903.236999999997</v>
      </c>
      <c r="N18" s="201">
        <f>Model!J$51</f>
        <v>29853.18</v>
      </c>
      <c r="O18" s="201">
        <f>Model!K$51</f>
        <v>0</v>
      </c>
      <c r="P18" s="201">
        <f>Model!L$51</f>
        <v>0</v>
      </c>
      <c r="Q18" s="201">
        <f>Model!M$51</f>
        <v>0</v>
      </c>
      <c r="R18" s="201">
        <f>Model!N$51</f>
        <v>0</v>
      </c>
      <c r="S18" s="201">
        <f>Model!R$51</f>
        <v>25000</v>
      </c>
      <c r="T18" s="204" t="str">
        <f t="shared" si="6"/>
        <v/>
      </c>
      <c r="U18" s="204" t="str">
        <f t="shared" si="7"/>
        <v/>
      </c>
      <c r="V18" s="204" t="str">
        <f t="shared" si="8"/>
        <v/>
      </c>
      <c r="W18" s="204" t="str">
        <f t="shared" si="6"/>
        <v/>
      </c>
      <c r="X18" s="204" t="str">
        <f t="shared" si="6"/>
        <v/>
      </c>
      <c r="Y18" s="204" t="str">
        <f t="shared" ref="Y18:AB81" si="9">IF(ISNUMBER(Y17),"  ",IF(Y17="  ","  ",IF($G18&gt;O18,$A18,"")))</f>
        <v/>
      </c>
      <c r="Z18" s="204" t="str">
        <f t="shared" si="9"/>
        <v/>
      </c>
      <c r="AA18" s="204" t="str">
        <f t="shared" si="9"/>
        <v/>
      </c>
      <c r="AB18" s="204" t="str">
        <f t="shared" si="9"/>
        <v/>
      </c>
      <c r="AC18" s="204" t="str">
        <f t="shared" ref="AC18:AC81" si="10">IF(ISNUMBER(AC17),"  ",IF(AC17="  ","  ",IF($G18&gt;S18,$A18,"")))</f>
        <v/>
      </c>
      <c r="AE18" s="370"/>
      <c r="AF18" s="370">
        <v>2032</v>
      </c>
      <c r="AG18" s="374">
        <f>SUM(V:V)</f>
        <v>124878</v>
      </c>
    </row>
    <row r="19" spans="1:33" x14ac:dyDescent="0.3">
      <c r="A19" s="202">
        <v>41292</v>
      </c>
      <c r="B19" s="203">
        <f t="shared" si="5"/>
        <v>1</v>
      </c>
      <c r="C19" s="203">
        <f t="shared" si="0"/>
        <v>0</v>
      </c>
      <c r="D19" s="201">
        <f t="shared" si="1"/>
        <v>0</v>
      </c>
      <c r="E19" s="201">
        <f t="shared" si="2"/>
        <v>0</v>
      </c>
      <c r="F19" s="201">
        <f t="shared" si="3"/>
        <v>0</v>
      </c>
      <c r="G19" s="201">
        <f>SUM(D$2:D19)</f>
        <v>0</v>
      </c>
      <c r="H19" s="201">
        <f>SUM(E$2:E19)</f>
        <v>0</v>
      </c>
      <c r="I19" s="201">
        <f>SUM(F$2:F19)</f>
        <v>0</v>
      </c>
      <c r="J19" s="201">
        <f>Model!F$51</f>
        <v>23678.322499999998</v>
      </c>
      <c r="K19" s="201">
        <f>Model!G$51</f>
        <v>26052.648000000005</v>
      </c>
      <c r="L19" s="201">
        <f>Model!H$51</f>
        <v>27478.056499999995</v>
      </c>
      <c r="M19" s="201">
        <f>Model!I$51</f>
        <v>28903.236999999997</v>
      </c>
      <c r="N19" s="201">
        <f>Model!J$51</f>
        <v>29853.18</v>
      </c>
      <c r="O19" s="201">
        <f>Model!K$51</f>
        <v>0</v>
      </c>
      <c r="P19" s="201">
        <f>Model!L$51</f>
        <v>0</v>
      </c>
      <c r="Q19" s="201">
        <f>Model!M$51</f>
        <v>0</v>
      </c>
      <c r="R19" s="201">
        <f>Model!N$51</f>
        <v>0</v>
      </c>
      <c r="S19" s="201">
        <f>Model!R$51</f>
        <v>25000</v>
      </c>
      <c r="T19" s="204" t="str">
        <f t="shared" si="6"/>
        <v/>
      </c>
      <c r="U19" s="204" t="str">
        <f t="shared" si="7"/>
        <v/>
      </c>
      <c r="V19" s="204" t="str">
        <f t="shared" si="8"/>
        <v/>
      </c>
      <c r="W19" s="204" t="str">
        <f t="shared" si="6"/>
        <v/>
      </c>
      <c r="X19" s="204" t="str">
        <f t="shared" si="6"/>
        <v/>
      </c>
      <c r="Y19" s="204" t="str">
        <f t="shared" si="9"/>
        <v/>
      </c>
      <c r="Z19" s="204" t="str">
        <f t="shared" si="9"/>
        <v/>
      </c>
      <c r="AA19" s="204" t="str">
        <f t="shared" si="9"/>
        <v/>
      </c>
      <c r="AB19" s="204" t="str">
        <f t="shared" si="9"/>
        <v/>
      </c>
      <c r="AC19" s="204" t="str">
        <f t="shared" si="10"/>
        <v/>
      </c>
      <c r="AE19" s="195" t="s">
        <v>207</v>
      </c>
      <c r="AF19" s="195">
        <v>2023</v>
      </c>
      <c r="AG19" s="202">
        <f>SUM(W:W)</f>
        <v>124829</v>
      </c>
    </row>
    <row r="20" spans="1:33" x14ac:dyDescent="0.3">
      <c r="A20" s="202">
        <v>41293</v>
      </c>
      <c r="B20" s="203">
        <f t="shared" si="5"/>
        <v>1</v>
      </c>
      <c r="C20" s="203">
        <f t="shared" si="0"/>
        <v>0</v>
      </c>
      <c r="D20" s="201">
        <f t="shared" si="1"/>
        <v>0</v>
      </c>
      <c r="E20" s="201">
        <f t="shared" si="2"/>
        <v>0</v>
      </c>
      <c r="F20" s="201">
        <f t="shared" si="3"/>
        <v>0</v>
      </c>
      <c r="G20" s="201">
        <f>SUM(D$2:D20)</f>
        <v>0</v>
      </c>
      <c r="H20" s="201">
        <f>SUM(E$2:E20)</f>
        <v>0</v>
      </c>
      <c r="I20" s="201">
        <f>SUM(F$2:F20)</f>
        <v>0</v>
      </c>
      <c r="J20" s="201">
        <f>Model!F$51</f>
        <v>23678.322499999998</v>
      </c>
      <c r="K20" s="201">
        <f>Model!G$51</f>
        <v>26052.648000000005</v>
      </c>
      <c r="L20" s="201">
        <f>Model!H$51</f>
        <v>27478.056499999995</v>
      </c>
      <c r="M20" s="201">
        <f>Model!I$51</f>
        <v>28903.236999999997</v>
      </c>
      <c r="N20" s="201">
        <f>Model!J$51</f>
        <v>29853.18</v>
      </c>
      <c r="O20" s="201">
        <f>Model!K$51</f>
        <v>0</v>
      </c>
      <c r="P20" s="201">
        <f>Model!L$51</f>
        <v>0</v>
      </c>
      <c r="Q20" s="201">
        <f>Model!M$51</f>
        <v>0</v>
      </c>
      <c r="R20" s="201">
        <f>Model!N$51</f>
        <v>0</v>
      </c>
      <c r="S20" s="201">
        <f>Model!R$51</f>
        <v>25000</v>
      </c>
      <c r="T20" s="204" t="str">
        <f t="shared" si="6"/>
        <v/>
      </c>
      <c r="U20" s="204" t="str">
        <f t="shared" si="7"/>
        <v/>
      </c>
      <c r="V20" s="204" t="str">
        <f t="shared" si="8"/>
        <v/>
      </c>
      <c r="W20" s="204" t="str">
        <f t="shared" si="6"/>
        <v/>
      </c>
      <c r="X20" s="204" t="str">
        <f t="shared" si="6"/>
        <v/>
      </c>
      <c r="Y20" s="204" t="str">
        <f t="shared" si="9"/>
        <v/>
      </c>
      <c r="Z20" s="204" t="str">
        <f t="shared" si="9"/>
        <v/>
      </c>
      <c r="AA20" s="204" t="str">
        <f t="shared" si="9"/>
        <v/>
      </c>
      <c r="AB20" s="204" t="str">
        <f t="shared" si="9"/>
        <v/>
      </c>
      <c r="AC20" s="204" t="str">
        <f t="shared" si="10"/>
        <v/>
      </c>
      <c r="AF20" s="195">
        <v>2027</v>
      </c>
      <c r="AG20" s="202">
        <f>SUM(X:X)</f>
        <v>124878</v>
      </c>
    </row>
    <row r="21" spans="1:33" x14ac:dyDescent="0.3">
      <c r="A21" s="202">
        <v>41294</v>
      </c>
      <c r="B21" s="203">
        <f t="shared" si="5"/>
        <v>1</v>
      </c>
      <c r="C21" s="203">
        <f t="shared" si="0"/>
        <v>0</v>
      </c>
      <c r="D21" s="201">
        <f t="shared" si="1"/>
        <v>0</v>
      </c>
      <c r="E21" s="201">
        <f t="shared" si="2"/>
        <v>0</v>
      </c>
      <c r="F21" s="201">
        <f t="shared" si="3"/>
        <v>0</v>
      </c>
      <c r="G21" s="201">
        <f>SUM(D$2:D21)</f>
        <v>0</v>
      </c>
      <c r="H21" s="201">
        <f>SUM(E$2:E21)</f>
        <v>0</v>
      </c>
      <c r="I21" s="201">
        <f>SUM(F$2:F21)</f>
        <v>0</v>
      </c>
      <c r="J21" s="201">
        <f>Model!F$51</f>
        <v>23678.322499999998</v>
      </c>
      <c r="K21" s="201">
        <f>Model!G$51</f>
        <v>26052.648000000005</v>
      </c>
      <c r="L21" s="201">
        <f>Model!H$51</f>
        <v>27478.056499999995</v>
      </c>
      <c r="M21" s="201">
        <f>Model!I$51</f>
        <v>28903.236999999997</v>
      </c>
      <c r="N21" s="201">
        <f>Model!J$51</f>
        <v>29853.18</v>
      </c>
      <c r="O21" s="201">
        <f>Model!K$51</f>
        <v>0</v>
      </c>
      <c r="P21" s="201">
        <f>Model!L$51</f>
        <v>0</v>
      </c>
      <c r="Q21" s="201">
        <f>Model!M$51</f>
        <v>0</v>
      </c>
      <c r="R21" s="201">
        <f>Model!N$51</f>
        <v>0</v>
      </c>
      <c r="S21" s="201">
        <f>Model!R$51</f>
        <v>25000</v>
      </c>
      <c r="T21" s="204" t="str">
        <f t="shared" si="6"/>
        <v/>
      </c>
      <c r="U21" s="204" t="str">
        <f t="shared" si="7"/>
        <v/>
      </c>
      <c r="V21" s="204" t="str">
        <f t="shared" si="8"/>
        <v/>
      </c>
      <c r="W21" s="204" t="str">
        <f t="shared" si="6"/>
        <v/>
      </c>
      <c r="X21" s="204" t="str">
        <f t="shared" si="6"/>
        <v/>
      </c>
      <c r="Y21" s="204" t="str">
        <f t="shared" si="9"/>
        <v/>
      </c>
      <c r="Z21" s="204" t="str">
        <f t="shared" si="9"/>
        <v/>
      </c>
      <c r="AA21" s="204" t="str">
        <f t="shared" si="9"/>
        <v/>
      </c>
      <c r="AB21" s="204" t="str">
        <f t="shared" si="9"/>
        <v/>
      </c>
      <c r="AC21" s="204" t="str">
        <f t="shared" si="10"/>
        <v/>
      </c>
      <c r="AF21" s="195">
        <v>2032</v>
      </c>
      <c r="AG21" s="202">
        <f>SUM(Y:Y)</f>
        <v>124675</v>
      </c>
    </row>
    <row r="22" spans="1:33" x14ac:dyDescent="0.3">
      <c r="A22" s="202">
        <v>41295</v>
      </c>
      <c r="B22" s="203">
        <f t="shared" si="5"/>
        <v>1</v>
      </c>
      <c r="C22" s="203">
        <f t="shared" si="0"/>
        <v>0</v>
      </c>
      <c r="D22" s="201">
        <f t="shared" si="1"/>
        <v>0</v>
      </c>
      <c r="E22" s="201">
        <f t="shared" si="2"/>
        <v>0</v>
      </c>
      <c r="F22" s="201">
        <f t="shared" si="3"/>
        <v>0</v>
      </c>
      <c r="G22" s="201">
        <f>SUM(D$2:D22)</f>
        <v>0</v>
      </c>
      <c r="H22" s="201">
        <f>SUM(E$2:E22)</f>
        <v>0</v>
      </c>
      <c r="I22" s="201">
        <f>SUM(F$2:F22)</f>
        <v>0</v>
      </c>
      <c r="J22" s="201">
        <f>Model!F$51</f>
        <v>23678.322499999998</v>
      </c>
      <c r="K22" s="201">
        <f>Model!G$51</f>
        <v>26052.648000000005</v>
      </c>
      <c r="L22" s="201">
        <f>Model!H$51</f>
        <v>27478.056499999995</v>
      </c>
      <c r="M22" s="201">
        <f>Model!I$51</f>
        <v>28903.236999999997</v>
      </c>
      <c r="N22" s="201">
        <f>Model!J$51</f>
        <v>29853.18</v>
      </c>
      <c r="O22" s="201">
        <f>Model!K$51</f>
        <v>0</v>
      </c>
      <c r="P22" s="201">
        <f>Model!L$51</f>
        <v>0</v>
      </c>
      <c r="Q22" s="201">
        <f>Model!M$51</f>
        <v>0</v>
      </c>
      <c r="R22" s="201">
        <f>Model!N$51</f>
        <v>0</v>
      </c>
      <c r="S22" s="201">
        <f>Model!R$51</f>
        <v>25000</v>
      </c>
      <c r="T22" s="204" t="str">
        <f t="shared" si="6"/>
        <v/>
      </c>
      <c r="U22" s="204" t="str">
        <f t="shared" si="7"/>
        <v/>
      </c>
      <c r="V22" s="204" t="str">
        <f t="shared" si="8"/>
        <v/>
      </c>
      <c r="W22" s="204" t="str">
        <f t="shared" si="6"/>
        <v/>
      </c>
      <c r="X22" s="204" t="str">
        <f t="shared" si="6"/>
        <v/>
      </c>
      <c r="Y22" s="204" t="str">
        <f t="shared" si="9"/>
        <v/>
      </c>
      <c r="Z22" s="204" t="str">
        <f t="shared" si="9"/>
        <v/>
      </c>
      <c r="AA22" s="204" t="str">
        <f t="shared" si="9"/>
        <v/>
      </c>
      <c r="AB22" s="204" t="str">
        <f t="shared" si="9"/>
        <v/>
      </c>
      <c r="AC22" s="204" t="str">
        <f t="shared" si="10"/>
        <v/>
      </c>
      <c r="AE22" s="370" t="s">
        <v>208</v>
      </c>
      <c r="AF22" s="370">
        <v>2023</v>
      </c>
      <c r="AG22" s="374">
        <f>SUM(Z:Z)</f>
        <v>124675</v>
      </c>
    </row>
    <row r="23" spans="1:33" x14ac:dyDescent="0.3">
      <c r="A23" s="202">
        <v>41296</v>
      </c>
      <c r="B23" s="203">
        <f t="shared" si="5"/>
        <v>1</v>
      </c>
      <c r="C23" s="203">
        <f t="shared" si="0"/>
        <v>0</v>
      </c>
      <c r="D23" s="201">
        <f t="shared" si="1"/>
        <v>0</v>
      </c>
      <c r="E23" s="201">
        <f t="shared" si="2"/>
        <v>0</v>
      </c>
      <c r="F23" s="201">
        <f t="shared" si="3"/>
        <v>0</v>
      </c>
      <c r="G23" s="201">
        <f>SUM(D$2:D23)</f>
        <v>0</v>
      </c>
      <c r="H23" s="201">
        <f>SUM(E$2:E23)</f>
        <v>0</v>
      </c>
      <c r="I23" s="201">
        <f>SUM(F$2:F23)</f>
        <v>0</v>
      </c>
      <c r="J23" s="201">
        <f>Model!F$51</f>
        <v>23678.322499999998</v>
      </c>
      <c r="K23" s="201">
        <f>Model!G$51</f>
        <v>26052.648000000005</v>
      </c>
      <c r="L23" s="201">
        <f>Model!H$51</f>
        <v>27478.056499999995</v>
      </c>
      <c r="M23" s="201">
        <f>Model!I$51</f>
        <v>28903.236999999997</v>
      </c>
      <c r="N23" s="201">
        <f>Model!J$51</f>
        <v>29853.18</v>
      </c>
      <c r="O23" s="201">
        <f>Model!K$51</f>
        <v>0</v>
      </c>
      <c r="P23" s="201">
        <f>Model!L$51</f>
        <v>0</v>
      </c>
      <c r="Q23" s="201">
        <f>Model!M$51</f>
        <v>0</v>
      </c>
      <c r="R23" s="201">
        <f>Model!N$51</f>
        <v>0</v>
      </c>
      <c r="S23" s="201">
        <f>Model!R$51</f>
        <v>25000</v>
      </c>
      <c r="T23" s="204" t="str">
        <f t="shared" si="6"/>
        <v/>
      </c>
      <c r="U23" s="204" t="str">
        <f t="shared" si="7"/>
        <v/>
      </c>
      <c r="V23" s="204" t="str">
        <f t="shared" si="8"/>
        <v/>
      </c>
      <c r="W23" s="204" t="str">
        <f t="shared" si="6"/>
        <v/>
      </c>
      <c r="X23" s="204" t="str">
        <f t="shared" si="6"/>
        <v/>
      </c>
      <c r="Y23" s="204" t="str">
        <f t="shared" si="9"/>
        <v/>
      </c>
      <c r="Z23" s="204" t="str">
        <f t="shared" si="9"/>
        <v/>
      </c>
      <c r="AA23" s="204" t="str">
        <f t="shared" si="9"/>
        <v/>
      </c>
      <c r="AB23" s="204" t="str">
        <f t="shared" si="9"/>
        <v/>
      </c>
      <c r="AC23" s="204" t="str">
        <f t="shared" si="10"/>
        <v/>
      </c>
      <c r="AE23" s="370"/>
      <c r="AF23" s="370">
        <v>2027</v>
      </c>
      <c r="AG23" s="374">
        <f>SUM(AA:AA)</f>
        <v>124675</v>
      </c>
    </row>
    <row r="24" spans="1:33" x14ac:dyDescent="0.3">
      <c r="A24" s="202">
        <v>41297</v>
      </c>
      <c r="B24" s="203">
        <f t="shared" si="5"/>
        <v>1</v>
      </c>
      <c r="C24" s="203">
        <f t="shared" si="0"/>
        <v>0</v>
      </c>
      <c r="D24" s="201">
        <f t="shared" si="1"/>
        <v>0</v>
      </c>
      <c r="E24" s="201">
        <f t="shared" si="2"/>
        <v>0</v>
      </c>
      <c r="F24" s="201">
        <f t="shared" si="3"/>
        <v>0</v>
      </c>
      <c r="G24" s="201">
        <f>SUM(D$2:D24)</f>
        <v>0</v>
      </c>
      <c r="H24" s="201">
        <f>SUM(E$2:E24)</f>
        <v>0</v>
      </c>
      <c r="I24" s="201">
        <f>SUM(F$2:F24)</f>
        <v>0</v>
      </c>
      <c r="J24" s="201">
        <f>Model!F$51</f>
        <v>23678.322499999998</v>
      </c>
      <c r="K24" s="201">
        <f>Model!G$51</f>
        <v>26052.648000000005</v>
      </c>
      <c r="L24" s="201">
        <f>Model!H$51</f>
        <v>27478.056499999995</v>
      </c>
      <c r="M24" s="201">
        <f>Model!I$51</f>
        <v>28903.236999999997</v>
      </c>
      <c r="N24" s="201">
        <f>Model!J$51</f>
        <v>29853.18</v>
      </c>
      <c r="O24" s="201">
        <f>Model!K$51</f>
        <v>0</v>
      </c>
      <c r="P24" s="201">
        <f>Model!L$51</f>
        <v>0</v>
      </c>
      <c r="Q24" s="201">
        <f>Model!M$51</f>
        <v>0</v>
      </c>
      <c r="R24" s="201">
        <f>Model!N$51</f>
        <v>0</v>
      </c>
      <c r="S24" s="201">
        <f>Model!R$51</f>
        <v>25000</v>
      </c>
      <c r="T24" s="204" t="str">
        <f t="shared" si="6"/>
        <v/>
      </c>
      <c r="U24" s="204" t="str">
        <f t="shared" si="7"/>
        <v/>
      </c>
      <c r="V24" s="204" t="str">
        <f t="shared" si="8"/>
        <v/>
      </c>
      <c r="W24" s="204" t="str">
        <f t="shared" si="6"/>
        <v/>
      </c>
      <c r="X24" s="204" t="str">
        <f t="shared" si="6"/>
        <v/>
      </c>
      <c r="Y24" s="204" t="str">
        <f t="shared" si="9"/>
        <v/>
      </c>
      <c r="Z24" s="204" t="str">
        <f t="shared" si="9"/>
        <v/>
      </c>
      <c r="AA24" s="204" t="str">
        <f t="shared" si="9"/>
        <v/>
      </c>
      <c r="AB24" s="204" t="str">
        <f t="shared" si="9"/>
        <v/>
      </c>
      <c r="AC24" s="204" t="str">
        <f t="shared" si="10"/>
        <v/>
      </c>
      <c r="AE24" s="370"/>
      <c r="AF24" s="370">
        <v>2032</v>
      </c>
      <c r="AG24" s="374">
        <f>SUM(AB:AB)</f>
        <v>124675</v>
      </c>
    </row>
    <row r="25" spans="1:33" x14ac:dyDescent="0.3">
      <c r="A25" s="202">
        <v>41298</v>
      </c>
      <c r="B25" s="203">
        <f t="shared" si="5"/>
        <v>1</v>
      </c>
      <c r="C25" s="203">
        <f t="shared" si="0"/>
        <v>0</v>
      </c>
      <c r="D25" s="201">
        <f t="shared" si="1"/>
        <v>0</v>
      </c>
      <c r="E25" s="201">
        <f t="shared" si="2"/>
        <v>0</v>
      </c>
      <c r="F25" s="201">
        <f t="shared" si="3"/>
        <v>0</v>
      </c>
      <c r="G25" s="201">
        <f>SUM(D$2:D25)</f>
        <v>0</v>
      </c>
      <c r="H25" s="201">
        <f>SUM(E$2:E25)</f>
        <v>0</v>
      </c>
      <c r="I25" s="201">
        <f>SUM(F$2:F25)</f>
        <v>0</v>
      </c>
      <c r="J25" s="201">
        <f>Model!F$51</f>
        <v>23678.322499999998</v>
      </c>
      <c r="K25" s="201">
        <f>Model!G$51</f>
        <v>26052.648000000005</v>
      </c>
      <c r="L25" s="201">
        <f>Model!H$51</f>
        <v>27478.056499999995</v>
      </c>
      <c r="M25" s="201">
        <f>Model!I$51</f>
        <v>28903.236999999997</v>
      </c>
      <c r="N25" s="201">
        <f>Model!J$51</f>
        <v>29853.18</v>
      </c>
      <c r="O25" s="201">
        <f>Model!K$51</f>
        <v>0</v>
      </c>
      <c r="P25" s="201">
        <f>Model!L$51</f>
        <v>0</v>
      </c>
      <c r="Q25" s="201">
        <f>Model!M$51</f>
        <v>0</v>
      </c>
      <c r="R25" s="201">
        <f>Model!N$51</f>
        <v>0</v>
      </c>
      <c r="S25" s="201">
        <f>Model!R$51</f>
        <v>25000</v>
      </c>
      <c r="T25" s="204" t="str">
        <f t="shared" si="6"/>
        <v/>
      </c>
      <c r="U25" s="204" t="str">
        <f t="shared" si="7"/>
        <v/>
      </c>
      <c r="V25" s="204" t="str">
        <f t="shared" si="8"/>
        <v/>
      </c>
      <c r="W25" s="204" t="str">
        <f t="shared" si="6"/>
        <v/>
      </c>
      <c r="X25" s="204" t="str">
        <f t="shared" si="6"/>
        <v/>
      </c>
      <c r="Y25" s="204" t="str">
        <f t="shared" si="9"/>
        <v/>
      </c>
      <c r="Z25" s="204" t="str">
        <f t="shared" si="9"/>
        <v/>
      </c>
      <c r="AA25" s="204" t="str">
        <f t="shared" si="9"/>
        <v/>
      </c>
      <c r="AB25" s="204" t="str">
        <f t="shared" si="9"/>
        <v/>
      </c>
      <c r="AC25" s="204" t="str">
        <f t="shared" si="10"/>
        <v/>
      </c>
      <c r="AE25" s="195" t="s">
        <v>209</v>
      </c>
      <c r="AG25" s="375">
        <f>SUM(AC:AC)</f>
        <v>124785</v>
      </c>
    </row>
    <row r="26" spans="1:33" x14ac:dyDescent="0.3">
      <c r="A26" s="202">
        <v>41299</v>
      </c>
      <c r="B26" s="203">
        <f t="shared" si="5"/>
        <v>1</v>
      </c>
      <c r="C26" s="203">
        <f t="shared" si="0"/>
        <v>0</v>
      </c>
      <c r="D26" s="201">
        <f t="shared" si="1"/>
        <v>0</v>
      </c>
      <c r="E26" s="201">
        <f t="shared" si="2"/>
        <v>0</v>
      </c>
      <c r="F26" s="201">
        <f t="shared" si="3"/>
        <v>0</v>
      </c>
      <c r="G26" s="201">
        <f>SUM(D$2:D26)</f>
        <v>0</v>
      </c>
      <c r="H26" s="201">
        <f>SUM(E$2:E26)</f>
        <v>0</v>
      </c>
      <c r="I26" s="201">
        <f>SUM(F$2:F26)</f>
        <v>0</v>
      </c>
      <c r="J26" s="201">
        <f>Model!F$51</f>
        <v>23678.322499999998</v>
      </c>
      <c r="K26" s="201">
        <f>Model!G$51</f>
        <v>26052.648000000005</v>
      </c>
      <c r="L26" s="201">
        <f>Model!H$51</f>
        <v>27478.056499999995</v>
      </c>
      <c r="M26" s="201">
        <f>Model!I$51</f>
        <v>28903.236999999997</v>
      </c>
      <c r="N26" s="201">
        <f>Model!J$51</f>
        <v>29853.18</v>
      </c>
      <c r="O26" s="201">
        <f>Model!K$51</f>
        <v>0</v>
      </c>
      <c r="P26" s="201">
        <f>Model!L$51</f>
        <v>0</v>
      </c>
      <c r="Q26" s="201">
        <f>Model!M$51</f>
        <v>0</v>
      </c>
      <c r="R26" s="201">
        <f>Model!N$51</f>
        <v>0</v>
      </c>
      <c r="S26" s="201">
        <f>Model!R$51</f>
        <v>25000</v>
      </c>
      <c r="T26" s="204" t="str">
        <f t="shared" si="6"/>
        <v/>
      </c>
      <c r="U26" s="204" t="str">
        <f t="shared" si="7"/>
        <v/>
      </c>
      <c r="V26" s="204" t="str">
        <f t="shared" si="8"/>
        <v/>
      </c>
      <c r="W26" s="204" t="str">
        <f t="shared" si="6"/>
        <v/>
      </c>
      <c r="X26" s="204" t="str">
        <f t="shared" si="6"/>
        <v/>
      </c>
      <c r="Y26" s="204" t="str">
        <f t="shared" si="9"/>
        <v/>
      </c>
      <c r="Z26" s="204" t="str">
        <f t="shared" si="9"/>
        <v/>
      </c>
      <c r="AA26" s="204" t="str">
        <f t="shared" si="9"/>
        <v/>
      </c>
      <c r="AB26" s="204" t="str">
        <f t="shared" si="9"/>
        <v/>
      </c>
      <c r="AC26" s="204" t="str">
        <f t="shared" si="10"/>
        <v/>
      </c>
    </row>
    <row r="27" spans="1:33" x14ac:dyDescent="0.3">
      <c r="A27" s="202">
        <v>41300</v>
      </c>
      <c r="B27" s="203">
        <f t="shared" si="5"/>
        <v>1</v>
      </c>
      <c r="C27" s="203">
        <f t="shared" si="0"/>
        <v>0</v>
      </c>
      <c r="D27" s="201">
        <f t="shared" si="1"/>
        <v>0</v>
      </c>
      <c r="E27" s="201">
        <f t="shared" si="2"/>
        <v>0</v>
      </c>
      <c r="F27" s="201">
        <f t="shared" si="3"/>
        <v>0</v>
      </c>
      <c r="G27" s="201">
        <f>SUM(D$2:D27)</f>
        <v>0</v>
      </c>
      <c r="H27" s="201">
        <f>SUM(E$2:E27)</f>
        <v>0</v>
      </c>
      <c r="I27" s="201">
        <f>SUM(F$2:F27)</f>
        <v>0</v>
      </c>
      <c r="J27" s="201">
        <f>Model!F$51</f>
        <v>23678.322499999998</v>
      </c>
      <c r="K27" s="201">
        <f>Model!G$51</f>
        <v>26052.648000000005</v>
      </c>
      <c r="L27" s="201">
        <f>Model!H$51</f>
        <v>27478.056499999995</v>
      </c>
      <c r="M27" s="201">
        <f>Model!I$51</f>
        <v>28903.236999999997</v>
      </c>
      <c r="N27" s="201">
        <f>Model!J$51</f>
        <v>29853.18</v>
      </c>
      <c r="O27" s="201">
        <f>Model!K$51</f>
        <v>0</v>
      </c>
      <c r="P27" s="201">
        <f>Model!L$51</f>
        <v>0</v>
      </c>
      <c r="Q27" s="201">
        <f>Model!M$51</f>
        <v>0</v>
      </c>
      <c r="R27" s="201">
        <f>Model!N$51</f>
        <v>0</v>
      </c>
      <c r="S27" s="201">
        <f>Model!R$51</f>
        <v>25000</v>
      </c>
      <c r="T27" s="204" t="str">
        <f t="shared" si="6"/>
        <v/>
      </c>
      <c r="U27" s="204" t="str">
        <f t="shared" si="7"/>
        <v/>
      </c>
      <c r="V27" s="204" t="str">
        <f t="shared" si="8"/>
        <v/>
      </c>
      <c r="W27" s="204" t="str">
        <f t="shared" si="6"/>
        <v/>
      </c>
      <c r="X27" s="204" t="str">
        <f t="shared" si="6"/>
        <v/>
      </c>
      <c r="Y27" s="204" t="str">
        <f t="shared" si="9"/>
        <v/>
      </c>
      <c r="Z27" s="204" t="str">
        <f t="shared" si="9"/>
        <v/>
      </c>
      <c r="AA27" s="204" t="str">
        <f t="shared" si="9"/>
        <v/>
      </c>
      <c r="AB27" s="204" t="str">
        <f t="shared" si="9"/>
        <v/>
      </c>
      <c r="AC27" s="204" t="str">
        <f t="shared" si="10"/>
        <v/>
      </c>
    </row>
    <row r="28" spans="1:33" x14ac:dyDescent="0.3">
      <c r="A28" s="202">
        <v>41301</v>
      </c>
      <c r="B28" s="203">
        <f t="shared" si="5"/>
        <v>1</v>
      </c>
      <c r="C28" s="203">
        <f t="shared" si="0"/>
        <v>0</v>
      </c>
      <c r="D28" s="201">
        <f t="shared" si="1"/>
        <v>0</v>
      </c>
      <c r="E28" s="201">
        <f t="shared" si="2"/>
        <v>0</v>
      </c>
      <c r="F28" s="201">
        <f t="shared" si="3"/>
        <v>0</v>
      </c>
      <c r="G28" s="201">
        <f>SUM(D$2:D28)</f>
        <v>0</v>
      </c>
      <c r="H28" s="201">
        <f>SUM(E$2:E28)</f>
        <v>0</v>
      </c>
      <c r="I28" s="201">
        <f>SUM(F$2:F28)</f>
        <v>0</v>
      </c>
      <c r="J28" s="201">
        <f>Model!F$51</f>
        <v>23678.322499999998</v>
      </c>
      <c r="K28" s="201">
        <f>Model!G$51</f>
        <v>26052.648000000005</v>
      </c>
      <c r="L28" s="201">
        <f>Model!H$51</f>
        <v>27478.056499999995</v>
      </c>
      <c r="M28" s="201">
        <f>Model!I$51</f>
        <v>28903.236999999997</v>
      </c>
      <c r="N28" s="201">
        <f>Model!J$51</f>
        <v>29853.18</v>
      </c>
      <c r="O28" s="201">
        <f>Model!K$51</f>
        <v>0</v>
      </c>
      <c r="P28" s="201">
        <f>Model!L$51</f>
        <v>0</v>
      </c>
      <c r="Q28" s="201">
        <f>Model!M$51</f>
        <v>0</v>
      </c>
      <c r="R28" s="201">
        <f>Model!N$51</f>
        <v>0</v>
      </c>
      <c r="S28" s="201">
        <f>Model!R$51</f>
        <v>25000</v>
      </c>
      <c r="T28" s="204" t="str">
        <f t="shared" si="6"/>
        <v/>
      </c>
      <c r="U28" s="204" t="str">
        <f t="shared" si="7"/>
        <v/>
      </c>
      <c r="V28" s="204" t="str">
        <f t="shared" si="8"/>
        <v/>
      </c>
      <c r="W28" s="204" t="str">
        <f t="shared" si="6"/>
        <v/>
      </c>
      <c r="X28" s="204" t="str">
        <f t="shared" si="6"/>
        <v/>
      </c>
      <c r="Y28" s="204" t="str">
        <f t="shared" si="9"/>
        <v/>
      </c>
      <c r="Z28" s="204" t="str">
        <f t="shared" si="9"/>
        <v/>
      </c>
      <c r="AA28" s="204" t="str">
        <f t="shared" si="9"/>
        <v/>
      </c>
      <c r="AB28" s="204" t="str">
        <f t="shared" si="9"/>
        <v/>
      </c>
      <c r="AC28" s="204" t="str">
        <f t="shared" si="10"/>
        <v/>
      </c>
    </row>
    <row r="29" spans="1:33" x14ac:dyDescent="0.3">
      <c r="A29" s="202">
        <v>41302</v>
      </c>
      <c r="B29" s="203">
        <f t="shared" si="5"/>
        <v>1</v>
      </c>
      <c r="C29" s="203">
        <f t="shared" si="0"/>
        <v>0</v>
      </c>
      <c r="D29" s="201">
        <f t="shared" si="1"/>
        <v>0</v>
      </c>
      <c r="E29" s="201">
        <f t="shared" si="2"/>
        <v>0</v>
      </c>
      <c r="F29" s="201">
        <f t="shared" si="3"/>
        <v>0</v>
      </c>
      <c r="G29" s="201">
        <f>SUM(D$2:D29)</f>
        <v>0</v>
      </c>
      <c r="H29" s="201">
        <f>SUM(E$2:E29)</f>
        <v>0</v>
      </c>
      <c r="I29" s="201">
        <f>SUM(F$2:F29)</f>
        <v>0</v>
      </c>
      <c r="J29" s="201">
        <f>Model!F$51</f>
        <v>23678.322499999998</v>
      </c>
      <c r="K29" s="201">
        <f>Model!G$51</f>
        <v>26052.648000000005</v>
      </c>
      <c r="L29" s="201">
        <f>Model!H$51</f>
        <v>27478.056499999995</v>
      </c>
      <c r="M29" s="201">
        <f>Model!I$51</f>
        <v>28903.236999999997</v>
      </c>
      <c r="N29" s="201">
        <f>Model!J$51</f>
        <v>29853.18</v>
      </c>
      <c r="O29" s="201">
        <f>Model!K$51</f>
        <v>0</v>
      </c>
      <c r="P29" s="201">
        <f>Model!L$51</f>
        <v>0</v>
      </c>
      <c r="Q29" s="201">
        <f>Model!M$51</f>
        <v>0</v>
      </c>
      <c r="R29" s="201">
        <f>Model!N$51</f>
        <v>0</v>
      </c>
      <c r="S29" s="201">
        <f>Model!R$51</f>
        <v>25000</v>
      </c>
      <c r="T29" s="204" t="str">
        <f t="shared" si="6"/>
        <v/>
      </c>
      <c r="U29" s="204" t="str">
        <f t="shared" si="7"/>
        <v/>
      </c>
      <c r="V29" s="204" t="str">
        <f t="shared" si="8"/>
        <v/>
      </c>
      <c r="W29" s="204" t="str">
        <f t="shared" si="6"/>
        <v/>
      </c>
      <c r="X29" s="204" t="str">
        <f t="shared" si="6"/>
        <v/>
      </c>
      <c r="Y29" s="204" t="str">
        <f t="shared" si="9"/>
        <v/>
      </c>
      <c r="Z29" s="204" t="str">
        <f t="shared" si="9"/>
        <v/>
      </c>
      <c r="AA29" s="204" t="str">
        <f t="shared" si="9"/>
        <v/>
      </c>
      <c r="AB29" s="204" t="str">
        <f t="shared" si="9"/>
        <v/>
      </c>
      <c r="AC29" s="204" t="str">
        <f t="shared" si="10"/>
        <v/>
      </c>
    </row>
    <row r="30" spans="1:33" x14ac:dyDescent="0.3">
      <c r="A30" s="202">
        <v>41303</v>
      </c>
      <c r="B30" s="203">
        <f t="shared" si="5"/>
        <v>1</v>
      </c>
      <c r="C30" s="203">
        <f t="shared" si="0"/>
        <v>0</v>
      </c>
      <c r="D30" s="201">
        <f t="shared" si="1"/>
        <v>0</v>
      </c>
      <c r="E30" s="201">
        <f t="shared" si="2"/>
        <v>0</v>
      </c>
      <c r="F30" s="201">
        <f t="shared" si="3"/>
        <v>0</v>
      </c>
      <c r="G30" s="201">
        <f>SUM(D$2:D30)</f>
        <v>0</v>
      </c>
      <c r="H30" s="201">
        <f>SUM(E$2:E30)</f>
        <v>0</v>
      </c>
      <c r="I30" s="201">
        <f>SUM(F$2:F30)</f>
        <v>0</v>
      </c>
      <c r="J30" s="201">
        <f>Model!F$51</f>
        <v>23678.322499999998</v>
      </c>
      <c r="K30" s="201">
        <f>Model!G$51</f>
        <v>26052.648000000005</v>
      </c>
      <c r="L30" s="201">
        <f>Model!H$51</f>
        <v>27478.056499999995</v>
      </c>
      <c r="M30" s="201">
        <f>Model!I$51</f>
        <v>28903.236999999997</v>
      </c>
      <c r="N30" s="201">
        <f>Model!J$51</f>
        <v>29853.18</v>
      </c>
      <c r="O30" s="201">
        <f>Model!K$51</f>
        <v>0</v>
      </c>
      <c r="P30" s="201">
        <f>Model!L$51</f>
        <v>0</v>
      </c>
      <c r="Q30" s="201">
        <f>Model!M$51</f>
        <v>0</v>
      </c>
      <c r="R30" s="201">
        <f>Model!N$51</f>
        <v>0</v>
      </c>
      <c r="S30" s="201">
        <f>Model!R$51</f>
        <v>25000</v>
      </c>
      <c r="T30" s="204" t="str">
        <f t="shared" si="6"/>
        <v/>
      </c>
      <c r="U30" s="204" t="str">
        <f t="shared" si="7"/>
        <v/>
      </c>
      <c r="V30" s="204" t="str">
        <f t="shared" si="8"/>
        <v/>
      </c>
      <c r="W30" s="204" t="str">
        <f t="shared" si="6"/>
        <v/>
      </c>
      <c r="X30" s="204" t="str">
        <f t="shared" si="6"/>
        <v/>
      </c>
      <c r="Y30" s="204" t="str">
        <f t="shared" si="9"/>
        <v/>
      </c>
      <c r="Z30" s="204" t="str">
        <f t="shared" si="9"/>
        <v/>
      </c>
      <c r="AA30" s="204" t="str">
        <f t="shared" si="9"/>
        <v/>
      </c>
      <c r="AB30" s="204" t="str">
        <f t="shared" si="9"/>
        <v/>
      </c>
      <c r="AC30" s="204" t="str">
        <f t="shared" si="10"/>
        <v/>
      </c>
    </row>
    <row r="31" spans="1:33" x14ac:dyDescent="0.3">
      <c r="A31" s="202">
        <v>41304</v>
      </c>
      <c r="B31" s="203">
        <f t="shared" si="5"/>
        <v>1</v>
      </c>
      <c r="C31" s="203">
        <f t="shared" si="0"/>
        <v>0</v>
      </c>
      <c r="D31" s="201">
        <f t="shared" si="1"/>
        <v>0</v>
      </c>
      <c r="E31" s="201">
        <f t="shared" si="2"/>
        <v>0</v>
      </c>
      <c r="F31" s="201">
        <f t="shared" si="3"/>
        <v>0</v>
      </c>
      <c r="G31" s="201">
        <f>SUM(D$2:D31)</f>
        <v>0</v>
      </c>
      <c r="H31" s="201">
        <f>SUM(E$2:E31)</f>
        <v>0</v>
      </c>
      <c r="I31" s="201">
        <f>SUM(F$2:F31)</f>
        <v>0</v>
      </c>
      <c r="J31" s="201">
        <f>Model!F$51</f>
        <v>23678.322499999998</v>
      </c>
      <c r="K31" s="201">
        <f>Model!G$51</f>
        <v>26052.648000000005</v>
      </c>
      <c r="L31" s="201">
        <f>Model!H$51</f>
        <v>27478.056499999995</v>
      </c>
      <c r="M31" s="201">
        <f>Model!I$51</f>
        <v>28903.236999999997</v>
      </c>
      <c r="N31" s="201">
        <f>Model!J$51</f>
        <v>29853.18</v>
      </c>
      <c r="O31" s="201">
        <f>Model!K$51</f>
        <v>0</v>
      </c>
      <c r="P31" s="201">
        <f>Model!L$51</f>
        <v>0</v>
      </c>
      <c r="Q31" s="201">
        <f>Model!M$51</f>
        <v>0</v>
      </c>
      <c r="R31" s="201">
        <f>Model!N$51</f>
        <v>0</v>
      </c>
      <c r="S31" s="201">
        <f>Model!R$51</f>
        <v>25000</v>
      </c>
      <c r="T31" s="204" t="str">
        <f t="shared" si="6"/>
        <v/>
      </c>
      <c r="U31" s="204" t="str">
        <f t="shared" si="7"/>
        <v/>
      </c>
      <c r="V31" s="204" t="str">
        <f t="shared" si="8"/>
        <v/>
      </c>
      <c r="W31" s="204" t="str">
        <f t="shared" si="6"/>
        <v/>
      </c>
      <c r="X31" s="204" t="str">
        <f t="shared" si="6"/>
        <v/>
      </c>
      <c r="Y31" s="204" t="str">
        <f t="shared" si="9"/>
        <v/>
      </c>
      <c r="Z31" s="204" t="str">
        <f t="shared" si="9"/>
        <v/>
      </c>
      <c r="AA31" s="204" t="str">
        <f t="shared" si="9"/>
        <v/>
      </c>
      <c r="AB31" s="204" t="str">
        <f t="shared" si="9"/>
        <v/>
      </c>
      <c r="AC31" s="204" t="str">
        <f t="shared" si="10"/>
        <v/>
      </c>
    </row>
    <row r="32" spans="1:33" x14ac:dyDescent="0.3">
      <c r="A32" s="202">
        <v>41305</v>
      </c>
      <c r="B32" s="203">
        <f t="shared" si="5"/>
        <v>1</v>
      </c>
      <c r="C32" s="203">
        <f t="shared" si="0"/>
        <v>0</v>
      </c>
      <c r="D32" s="201">
        <f t="shared" si="1"/>
        <v>0</v>
      </c>
      <c r="E32" s="201">
        <f t="shared" si="2"/>
        <v>0</v>
      </c>
      <c r="F32" s="201">
        <f t="shared" si="3"/>
        <v>0</v>
      </c>
      <c r="G32" s="201">
        <f>SUM(D$2:D32)</f>
        <v>0</v>
      </c>
      <c r="H32" s="201">
        <f>SUM(E$2:E32)</f>
        <v>0</v>
      </c>
      <c r="I32" s="201">
        <f>SUM(F$2:F32)</f>
        <v>0</v>
      </c>
      <c r="J32" s="201">
        <f>Model!F$51</f>
        <v>23678.322499999998</v>
      </c>
      <c r="K32" s="201">
        <f>Model!G$51</f>
        <v>26052.648000000005</v>
      </c>
      <c r="L32" s="201">
        <f>Model!H$51</f>
        <v>27478.056499999995</v>
      </c>
      <c r="M32" s="201">
        <f>Model!I$51</f>
        <v>28903.236999999997</v>
      </c>
      <c r="N32" s="201">
        <f>Model!J$51</f>
        <v>29853.18</v>
      </c>
      <c r="O32" s="201">
        <f>Model!K$51</f>
        <v>0</v>
      </c>
      <c r="P32" s="201">
        <f>Model!L$51</f>
        <v>0</v>
      </c>
      <c r="Q32" s="201">
        <f>Model!M$51</f>
        <v>0</v>
      </c>
      <c r="R32" s="201">
        <f>Model!N$51</f>
        <v>0</v>
      </c>
      <c r="S32" s="201">
        <f>Model!R$51</f>
        <v>25000</v>
      </c>
      <c r="T32" s="204" t="str">
        <f t="shared" si="6"/>
        <v/>
      </c>
      <c r="U32" s="204" t="str">
        <f t="shared" si="7"/>
        <v/>
      </c>
      <c r="V32" s="204" t="str">
        <f t="shared" si="8"/>
        <v/>
      </c>
      <c r="W32" s="204" t="str">
        <f t="shared" si="6"/>
        <v/>
      </c>
      <c r="X32" s="204" t="str">
        <f t="shared" si="6"/>
        <v/>
      </c>
      <c r="Y32" s="204" t="str">
        <f t="shared" si="9"/>
        <v/>
      </c>
      <c r="Z32" s="204" t="str">
        <f t="shared" si="9"/>
        <v/>
      </c>
      <c r="AA32" s="204" t="str">
        <f t="shared" si="9"/>
        <v/>
      </c>
      <c r="AB32" s="204" t="str">
        <f t="shared" si="9"/>
        <v/>
      </c>
      <c r="AC32" s="204" t="str">
        <f t="shared" si="10"/>
        <v/>
      </c>
    </row>
    <row r="33" spans="1:29" x14ac:dyDescent="0.3">
      <c r="A33" s="202">
        <v>41306</v>
      </c>
      <c r="B33" s="203">
        <f t="shared" si="5"/>
        <v>2</v>
      </c>
      <c r="C33" s="203">
        <f t="shared" si="0"/>
        <v>0</v>
      </c>
      <c r="D33" s="201">
        <f t="shared" si="1"/>
        <v>0</v>
      </c>
      <c r="E33" s="201">
        <f t="shared" si="2"/>
        <v>0</v>
      </c>
      <c r="F33" s="201">
        <f t="shared" si="3"/>
        <v>0</v>
      </c>
      <c r="G33" s="201">
        <f>SUM(D$2:D33)</f>
        <v>0</v>
      </c>
      <c r="H33" s="201">
        <f>SUM(E$2:E33)</f>
        <v>0</v>
      </c>
      <c r="I33" s="201">
        <f>SUM(F$2:F33)</f>
        <v>0</v>
      </c>
      <c r="J33" s="201">
        <f>Model!F$51</f>
        <v>23678.322499999998</v>
      </c>
      <c r="K33" s="201">
        <f>Model!G$51</f>
        <v>26052.648000000005</v>
      </c>
      <c r="L33" s="201">
        <f>Model!H$51</f>
        <v>27478.056499999995</v>
      </c>
      <c r="M33" s="201">
        <f>Model!I$51</f>
        <v>28903.236999999997</v>
      </c>
      <c r="N33" s="201">
        <f>Model!J$51</f>
        <v>29853.18</v>
      </c>
      <c r="O33" s="201">
        <f>Model!K$51</f>
        <v>0</v>
      </c>
      <c r="P33" s="201">
        <f>Model!L$51</f>
        <v>0</v>
      </c>
      <c r="Q33" s="201">
        <f>Model!M$51</f>
        <v>0</v>
      </c>
      <c r="R33" s="201">
        <f>Model!N$51</f>
        <v>0</v>
      </c>
      <c r="S33" s="201">
        <f>Model!R$51</f>
        <v>25000</v>
      </c>
      <c r="T33" s="204" t="str">
        <f t="shared" si="6"/>
        <v/>
      </c>
      <c r="U33" s="204" t="str">
        <f t="shared" si="7"/>
        <v/>
      </c>
      <c r="V33" s="204" t="str">
        <f t="shared" si="8"/>
        <v/>
      </c>
      <c r="W33" s="204" t="str">
        <f t="shared" si="6"/>
        <v/>
      </c>
      <c r="X33" s="204" t="str">
        <f t="shared" si="6"/>
        <v/>
      </c>
      <c r="Y33" s="204" t="str">
        <f t="shared" si="9"/>
        <v/>
      </c>
      <c r="Z33" s="204" t="str">
        <f t="shared" si="9"/>
        <v/>
      </c>
      <c r="AA33" s="204" t="str">
        <f t="shared" si="9"/>
        <v/>
      </c>
      <c r="AB33" s="204" t="str">
        <f t="shared" si="9"/>
        <v/>
      </c>
      <c r="AC33" s="204" t="str">
        <f t="shared" si="10"/>
        <v/>
      </c>
    </row>
    <row r="34" spans="1:29" x14ac:dyDescent="0.3">
      <c r="A34" s="202">
        <v>41307</v>
      </c>
      <c r="B34" s="203">
        <f t="shared" si="5"/>
        <v>2</v>
      </c>
      <c r="C34" s="203">
        <f t="shared" si="0"/>
        <v>0</v>
      </c>
      <c r="D34" s="201">
        <f t="shared" si="1"/>
        <v>0</v>
      </c>
      <c r="E34" s="201">
        <f t="shared" si="2"/>
        <v>0</v>
      </c>
      <c r="F34" s="201">
        <f t="shared" si="3"/>
        <v>0</v>
      </c>
      <c r="G34" s="201">
        <f>SUM(D$2:D34)</f>
        <v>0</v>
      </c>
      <c r="H34" s="201">
        <f>SUM(E$2:E34)</f>
        <v>0</v>
      </c>
      <c r="I34" s="201">
        <f>SUM(F$2:F34)</f>
        <v>0</v>
      </c>
      <c r="J34" s="201">
        <f>Model!F$51</f>
        <v>23678.322499999998</v>
      </c>
      <c r="K34" s="201">
        <f>Model!G$51</f>
        <v>26052.648000000005</v>
      </c>
      <c r="L34" s="201">
        <f>Model!H$51</f>
        <v>27478.056499999995</v>
      </c>
      <c r="M34" s="201">
        <f>Model!I$51</f>
        <v>28903.236999999997</v>
      </c>
      <c r="N34" s="201">
        <f>Model!J$51</f>
        <v>29853.18</v>
      </c>
      <c r="O34" s="201">
        <f>Model!K$51</f>
        <v>0</v>
      </c>
      <c r="P34" s="201">
        <f>Model!L$51</f>
        <v>0</v>
      </c>
      <c r="Q34" s="201">
        <f>Model!M$51</f>
        <v>0</v>
      </c>
      <c r="R34" s="201">
        <f>Model!N$51</f>
        <v>0</v>
      </c>
      <c r="S34" s="201">
        <f>Model!R$51</f>
        <v>25000</v>
      </c>
      <c r="T34" s="204" t="str">
        <f t="shared" si="6"/>
        <v/>
      </c>
      <c r="U34" s="204" t="str">
        <f t="shared" si="7"/>
        <v/>
      </c>
      <c r="V34" s="204" t="str">
        <f t="shared" si="8"/>
        <v/>
      </c>
      <c r="W34" s="204" t="str">
        <f t="shared" si="6"/>
        <v/>
      </c>
      <c r="X34" s="204" t="str">
        <f t="shared" si="6"/>
        <v/>
      </c>
      <c r="Y34" s="204" t="str">
        <f t="shared" si="9"/>
        <v/>
      </c>
      <c r="Z34" s="204" t="str">
        <f t="shared" si="9"/>
        <v/>
      </c>
      <c r="AA34" s="204" t="str">
        <f t="shared" si="9"/>
        <v/>
      </c>
      <c r="AB34" s="204" t="str">
        <f t="shared" si="9"/>
        <v/>
      </c>
      <c r="AC34" s="204" t="str">
        <f t="shared" si="10"/>
        <v/>
      </c>
    </row>
    <row r="35" spans="1:29" x14ac:dyDescent="0.3">
      <c r="A35" s="202">
        <v>41308</v>
      </c>
      <c r="B35" s="203">
        <f t="shared" si="5"/>
        <v>2</v>
      </c>
      <c r="C35" s="203">
        <f t="shared" si="0"/>
        <v>0</v>
      </c>
      <c r="D35" s="201">
        <f t="shared" si="1"/>
        <v>0</v>
      </c>
      <c r="E35" s="201">
        <f t="shared" si="2"/>
        <v>0</v>
      </c>
      <c r="F35" s="201">
        <f t="shared" si="3"/>
        <v>0</v>
      </c>
      <c r="G35" s="201">
        <f>SUM(D$2:D35)</f>
        <v>0</v>
      </c>
      <c r="H35" s="201">
        <f>SUM(E$2:E35)</f>
        <v>0</v>
      </c>
      <c r="I35" s="201">
        <f>SUM(F$2:F35)</f>
        <v>0</v>
      </c>
      <c r="J35" s="201">
        <f>Model!F$51</f>
        <v>23678.322499999998</v>
      </c>
      <c r="K35" s="201">
        <f>Model!G$51</f>
        <v>26052.648000000005</v>
      </c>
      <c r="L35" s="201">
        <f>Model!H$51</f>
        <v>27478.056499999995</v>
      </c>
      <c r="M35" s="201">
        <f>Model!I$51</f>
        <v>28903.236999999997</v>
      </c>
      <c r="N35" s="201">
        <f>Model!J$51</f>
        <v>29853.18</v>
      </c>
      <c r="O35" s="201">
        <f>Model!K$51</f>
        <v>0</v>
      </c>
      <c r="P35" s="201">
        <f>Model!L$51</f>
        <v>0</v>
      </c>
      <c r="Q35" s="201">
        <f>Model!M$51</f>
        <v>0</v>
      </c>
      <c r="R35" s="201">
        <f>Model!N$51</f>
        <v>0</v>
      </c>
      <c r="S35" s="201">
        <f>Model!R$51</f>
        <v>25000</v>
      </c>
      <c r="T35" s="204" t="str">
        <f t="shared" si="6"/>
        <v/>
      </c>
      <c r="U35" s="204" t="str">
        <f t="shared" si="7"/>
        <v/>
      </c>
      <c r="V35" s="204" t="str">
        <f t="shared" si="8"/>
        <v/>
      </c>
      <c r="W35" s="204" t="str">
        <f t="shared" si="6"/>
        <v/>
      </c>
      <c r="X35" s="204" t="str">
        <f t="shared" si="6"/>
        <v/>
      </c>
      <c r="Y35" s="204" t="str">
        <f t="shared" si="9"/>
        <v/>
      </c>
      <c r="Z35" s="204" t="str">
        <f t="shared" si="9"/>
        <v/>
      </c>
      <c r="AA35" s="204" t="str">
        <f t="shared" si="9"/>
        <v/>
      </c>
      <c r="AB35" s="204" t="str">
        <f t="shared" si="9"/>
        <v/>
      </c>
      <c r="AC35" s="204" t="str">
        <f t="shared" si="10"/>
        <v/>
      </c>
    </row>
    <row r="36" spans="1:29" x14ac:dyDescent="0.3">
      <c r="A36" s="202">
        <v>41309</v>
      </c>
      <c r="B36" s="203">
        <f t="shared" si="5"/>
        <v>2</v>
      </c>
      <c r="C36" s="203">
        <f t="shared" si="0"/>
        <v>0</v>
      </c>
      <c r="D36" s="201">
        <f t="shared" si="1"/>
        <v>0</v>
      </c>
      <c r="E36" s="201">
        <f t="shared" si="2"/>
        <v>0</v>
      </c>
      <c r="F36" s="201">
        <f t="shared" si="3"/>
        <v>0</v>
      </c>
      <c r="G36" s="201">
        <f>SUM(D$2:D36)</f>
        <v>0</v>
      </c>
      <c r="H36" s="201">
        <f>SUM(E$2:E36)</f>
        <v>0</v>
      </c>
      <c r="I36" s="201">
        <f>SUM(F$2:F36)</f>
        <v>0</v>
      </c>
      <c r="J36" s="201">
        <f>Model!F$51</f>
        <v>23678.322499999998</v>
      </c>
      <c r="K36" s="201">
        <f>Model!G$51</f>
        <v>26052.648000000005</v>
      </c>
      <c r="L36" s="201">
        <f>Model!H$51</f>
        <v>27478.056499999995</v>
      </c>
      <c r="M36" s="201">
        <f>Model!I$51</f>
        <v>28903.236999999997</v>
      </c>
      <c r="N36" s="201">
        <f>Model!J$51</f>
        <v>29853.18</v>
      </c>
      <c r="O36" s="201">
        <f>Model!K$51</f>
        <v>0</v>
      </c>
      <c r="P36" s="201">
        <f>Model!L$51</f>
        <v>0</v>
      </c>
      <c r="Q36" s="201">
        <f>Model!M$51</f>
        <v>0</v>
      </c>
      <c r="R36" s="201">
        <f>Model!N$51</f>
        <v>0</v>
      </c>
      <c r="S36" s="201">
        <f>Model!R$51</f>
        <v>25000</v>
      </c>
      <c r="T36" s="204" t="str">
        <f t="shared" si="6"/>
        <v/>
      </c>
      <c r="U36" s="204" t="str">
        <f t="shared" si="7"/>
        <v/>
      </c>
      <c r="V36" s="204" t="str">
        <f t="shared" si="8"/>
        <v/>
      </c>
      <c r="W36" s="204" t="str">
        <f t="shared" si="6"/>
        <v/>
      </c>
      <c r="X36" s="204" t="str">
        <f t="shared" si="6"/>
        <v/>
      </c>
      <c r="Y36" s="204" t="str">
        <f t="shared" si="9"/>
        <v/>
      </c>
      <c r="Z36" s="204" t="str">
        <f t="shared" si="9"/>
        <v/>
      </c>
      <c r="AA36" s="204" t="str">
        <f t="shared" si="9"/>
        <v/>
      </c>
      <c r="AB36" s="204" t="str">
        <f t="shared" si="9"/>
        <v/>
      </c>
      <c r="AC36" s="204" t="str">
        <f t="shared" si="10"/>
        <v/>
      </c>
    </row>
    <row r="37" spans="1:29" x14ac:dyDescent="0.3">
      <c r="A37" s="202">
        <v>41310</v>
      </c>
      <c r="B37" s="203">
        <f t="shared" si="5"/>
        <v>2</v>
      </c>
      <c r="C37" s="203">
        <f t="shared" si="0"/>
        <v>0</v>
      </c>
      <c r="D37" s="201">
        <f t="shared" si="1"/>
        <v>0</v>
      </c>
      <c r="E37" s="201">
        <f t="shared" si="2"/>
        <v>0</v>
      </c>
      <c r="F37" s="201">
        <f t="shared" si="3"/>
        <v>0</v>
      </c>
      <c r="G37" s="201">
        <f>SUM(D$2:D37)</f>
        <v>0</v>
      </c>
      <c r="H37" s="201">
        <f>SUM(E$2:E37)</f>
        <v>0</v>
      </c>
      <c r="I37" s="201">
        <f>SUM(F$2:F37)</f>
        <v>0</v>
      </c>
      <c r="J37" s="201">
        <f>Model!F$51</f>
        <v>23678.322499999998</v>
      </c>
      <c r="K37" s="201">
        <f>Model!G$51</f>
        <v>26052.648000000005</v>
      </c>
      <c r="L37" s="201">
        <f>Model!H$51</f>
        <v>27478.056499999995</v>
      </c>
      <c r="M37" s="201">
        <f>Model!I$51</f>
        <v>28903.236999999997</v>
      </c>
      <c r="N37" s="201">
        <f>Model!J$51</f>
        <v>29853.18</v>
      </c>
      <c r="O37" s="201">
        <f>Model!K$51</f>
        <v>0</v>
      </c>
      <c r="P37" s="201">
        <f>Model!L$51</f>
        <v>0</v>
      </c>
      <c r="Q37" s="201">
        <f>Model!M$51</f>
        <v>0</v>
      </c>
      <c r="R37" s="201">
        <f>Model!N$51</f>
        <v>0</v>
      </c>
      <c r="S37" s="201">
        <f>Model!R$51</f>
        <v>25000</v>
      </c>
      <c r="T37" s="204" t="str">
        <f t="shared" si="6"/>
        <v/>
      </c>
      <c r="U37" s="204" t="str">
        <f t="shared" si="7"/>
        <v/>
      </c>
      <c r="V37" s="204" t="str">
        <f t="shared" si="8"/>
        <v/>
      </c>
      <c r="W37" s="204" t="str">
        <f t="shared" si="6"/>
        <v/>
      </c>
      <c r="X37" s="204" t="str">
        <f t="shared" si="6"/>
        <v/>
      </c>
      <c r="Y37" s="204" t="str">
        <f t="shared" si="9"/>
        <v/>
      </c>
      <c r="Z37" s="204" t="str">
        <f t="shared" si="9"/>
        <v/>
      </c>
      <c r="AA37" s="204" t="str">
        <f t="shared" si="9"/>
        <v/>
      </c>
      <c r="AB37" s="204" t="str">
        <f t="shared" si="9"/>
        <v/>
      </c>
      <c r="AC37" s="204" t="str">
        <f t="shared" si="10"/>
        <v/>
      </c>
    </row>
    <row r="38" spans="1:29" x14ac:dyDescent="0.3">
      <c r="A38" s="202">
        <v>41311</v>
      </c>
      <c r="B38" s="203">
        <f t="shared" si="5"/>
        <v>2</v>
      </c>
      <c r="C38" s="203">
        <f t="shared" si="0"/>
        <v>0</v>
      </c>
      <c r="D38" s="201">
        <f t="shared" si="1"/>
        <v>0</v>
      </c>
      <c r="E38" s="201">
        <f t="shared" si="2"/>
        <v>0</v>
      </c>
      <c r="F38" s="201">
        <f t="shared" si="3"/>
        <v>0</v>
      </c>
      <c r="G38" s="201">
        <f>SUM(D$2:D38)</f>
        <v>0</v>
      </c>
      <c r="H38" s="201">
        <f>SUM(E$2:E38)</f>
        <v>0</v>
      </c>
      <c r="I38" s="201">
        <f>SUM(F$2:F38)</f>
        <v>0</v>
      </c>
      <c r="J38" s="201">
        <f>Model!F$51</f>
        <v>23678.322499999998</v>
      </c>
      <c r="K38" s="201">
        <f>Model!G$51</f>
        <v>26052.648000000005</v>
      </c>
      <c r="L38" s="201">
        <f>Model!H$51</f>
        <v>27478.056499999995</v>
      </c>
      <c r="M38" s="201">
        <f>Model!I$51</f>
        <v>28903.236999999997</v>
      </c>
      <c r="N38" s="201">
        <f>Model!J$51</f>
        <v>29853.18</v>
      </c>
      <c r="O38" s="201">
        <f>Model!K$51</f>
        <v>0</v>
      </c>
      <c r="P38" s="201">
        <f>Model!L$51</f>
        <v>0</v>
      </c>
      <c r="Q38" s="201">
        <f>Model!M$51</f>
        <v>0</v>
      </c>
      <c r="R38" s="201">
        <f>Model!N$51</f>
        <v>0</v>
      </c>
      <c r="S38" s="201">
        <f>Model!R$51</f>
        <v>25000</v>
      </c>
      <c r="T38" s="204" t="str">
        <f t="shared" si="6"/>
        <v/>
      </c>
      <c r="U38" s="204" t="str">
        <f t="shared" si="7"/>
        <v/>
      </c>
      <c r="V38" s="204" t="str">
        <f t="shared" si="8"/>
        <v/>
      </c>
      <c r="W38" s="204" t="str">
        <f t="shared" si="6"/>
        <v/>
      </c>
      <c r="X38" s="204" t="str">
        <f t="shared" si="6"/>
        <v/>
      </c>
      <c r="Y38" s="204" t="str">
        <f t="shared" si="9"/>
        <v/>
      </c>
      <c r="Z38" s="204" t="str">
        <f t="shared" si="9"/>
        <v/>
      </c>
      <c r="AA38" s="204" t="str">
        <f t="shared" si="9"/>
        <v/>
      </c>
      <c r="AB38" s="204" t="str">
        <f t="shared" si="9"/>
        <v/>
      </c>
      <c r="AC38" s="204" t="str">
        <f t="shared" si="10"/>
        <v/>
      </c>
    </row>
    <row r="39" spans="1:29" x14ac:dyDescent="0.3">
      <c r="A39" s="202">
        <v>41312</v>
      </c>
      <c r="B39" s="203">
        <f t="shared" si="5"/>
        <v>2</v>
      </c>
      <c r="C39" s="203">
        <f t="shared" si="0"/>
        <v>0</v>
      </c>
      <c r="D39" s="201">
        <f t="shared" si="1"/>
        <v>0</v>
      </c>
      <c r="E39" s="201">
        <f t="shared" si="2"/>
        <v>0</v>
      </c>
      <c r="F39" s="201">
        <f t="shared" si="3"/>
        <v>0</v>
      </c>
      <c r="G39" s="201">
        <f>SUM(D$2:D39)</f>
        <v>0</v>
      </c>
      <c r="H39" s="201">
        <f>SUM(E$2:E39)</f>
        <v>0</v>
      </c>
      <c r="I39" s="201">
        <f>SUM(F$2:F39)</f>
        <v>0</v>
      </c>
      <c r="J39" s="201">
        <f>Model!F$51</f>
        <v>23678.322499999998</v>
      </c>
      <c r="K39" s="201">
        <f>Model!G$51</f>
        <v>26052.648000000005</v>
      </c>
      <c r="L39" s="201">
        <f>Model!H$51</f>
        <v>27478.056499999995</v>
      </c>
      <c r="M39" s="201">
        <f>Model!I$51</f>
        <v>28903.236999999997</v>
      </c>
      <c r="N39" s="201">
        <f>Model!J$51</f>
        <v>29853.18</v>
      </c>
      <c r="O39" s="201">
        <f>Model!K$51</f>
        <v>0</v>
      </c>
      <c r="P39" s="201">
        <f>Model!L$51</f>
        <v>0</v>
      </c>
      <c r="Q39" s="201">
        <f>Model!M$51</f>
        <v>0</v>
      </c>
      <c r="R39" s="201">
        <f>Model!N$51</f>
        <v>0</v>
      </c>
      <c r="S39" s="201">
        <f>Model!R$51</f>
        <v>25000</v>
      </c>
      <c r="T39" s="204" t="str">
        <f t="shared" si="6"/>
        <v/>
      </c>
      <c r="U39" s="204" t="str">
        <f t="shared" si="7"/>
        <v/>
      </c>
      <c r="V39" s="204" t="str">
        <f t="shared" si="8"/>
        <v/>
      </c>
      <c r="W39" s="204" t="str">
        <f t="shared" si="6"/>
        <v/>
      </c>
      <c r="X39" s="204" t="str">
        <f t="shared" si="6"/>
        <v/>
      </c>
      <c r="Y39" s="204" t="str">
        <f t="shared" si="9"/>
        <v/>
      </c>
      <c r="Z39" s="204" t="str">
        <f t="shared" si="9"/>
        <v/>
      </c>
      <c r="AA39" s="204" t="str">
        <f t="shared" si="9"/>
        <v/>
      </c>
      <c r="AB39" s="204" t="str">
        <f t="shared" si="9"/>
        <v/>
      </c>
      <c r="AC39" s="204" t="str">
        <f t="shared" si="10"/>
        <v/>
      </c>
    </row>
    <row r="40" spans="1:29" x14ac:dyDescent="0.3">
      <c r="A40" s="202">
        <v>41313</v>
      </c>
      <c r="B40" s="203">
        <f t="shared" si="5"/>
        <v>2</v>
      </c>
      <c r="C40" s="203">
        <f t="shared" si="0"/>
        <v>0</v>
      </c>
      <c r="D40" s="201">
        <f t="shared" si="1"/>
        <v>0</v>
      </c>
      <c r="E40" s="201">
        <f t="shared" si="2"/>
        <v>0</v>
      </c>
      <c r="F40" s="201">
        <f t="shared" si="3"/>
        <v>0</v>
      </c>
      <c r="G40" s="201">
        <f>SUM(D$2:D40)</f>
        <v>0</v>
      </c>
      <c r="H40" s="201">
        <f>SUM(E$2:E40)</f>
        <v>0</v>
      </c>
      <c r="I40" s="201">
        <f>SUM(F$2:F40)</f>
        <v>0</v>
      </c>
      <c r="J40" s="201">
        <f>Model!F$51</f>
        <v>23678.322499999998</v>
      </c>
      <c r="K40" s="201">
        <f>Model!G$51</f>
        <v>26052.648000000005</v>
      </c>
      <c r="L40" s="201">
        <f>Model!H$51</f>
        <v>27478.056499999995</v>
      </c>
      <c r="M40" s="201">
        <f>Model!I$51</f>
        <v>28903.236999999997</v>
      </c>
      <c r="N40" s="201">
        <f>Model!J$51</f>
        <v>29853.18</v>
      </c>
      <c r="O40" s="201">
        <f>Model!K$51</f>
        <v>0</v>
      </c>
      <c r="P40" s="201">
        <f>Model!L$51</f>
        <v>0</v>
      </c>
      <c r="Q40" s="201">
        <f>Model!M$51</f>
        <v>0</v>
      </c>
      <c r="R40" s="201">
        <f>Model!N$51</f>
        <v>0</v>
      </c>
      <c r="S40" s="201">
        <f>Model!R$51</f>
        <v>25000</v>
      </c>
      <c r="T40" s="204" t="str">
        <f t="shared" si="6"/>
        <v/>
      </c>
      <c r="U40" s="204" t="str">
        <f t="shared" si="7"/>
        <v/>
      </c>
      <c r="V40" s="204" t="str">
        <f t="shared" si="8"/>
        <v/>
      </c>
      <c r="W40" s="204" t="str">
        <f t="shared" si="6"/>
        <v/>
      </c>
      <c r="X40" s="204" t="str">
        <f t="shared" si="6"/>
        <v/>
      </c>
      <c r="Y40" s="204" t="str">
        <f t="shared" si="9"/>
        <v/>
      </c>
      <c r="Z40" s="204" t="str">
        <f t="shared" si="9"/>
        <v/>
      </c>
      <c r="AA40" s="204" t="str">
        <f t="shared" si="9"/>
        <v/>
      </c>
      <c r="AB40" s="204" t="str">
        <f t="shared" si="9"/>
        <v/>
      </c>
      <c r="AC40" s="204" t="str">
        <f t="shared" si="10"/>
        <v/>
      </c>
    </row>
    <row r="41" spans="1:29" x14ac:dyDescent="0.3">
      <c r="A41" s="202">
        <v>41314</v>
      </c>
      <c r="B41" s="203">
        <f t="shared" si="5"/>
        <v>2</v>
      </c>
      <c r="C41" s="203">
        <f t="shared" si="0"/>
        <v>0</v>
      </c>
      <c r="D41" s="201">
        <f t="shared" si="1"/>
        <v>0</v>
      </c>
      <c r="E41" s="201">
        <f t="shared" si="2"/>
        <v>0</v>
      </c>
      <c r="F41" s="201">
        <f t="shared" si="3"/>
        <v>0</v>
      </c>
      <c r="G41" s="201">
        <f>SUM(D$2:D41)</f>
        <v>0</v>
      </c>
      <c r="H41" s="201">
        <f>SUM(E$2:E41)</f>
        <v>0</v>
      </c>
      <c r="I41" s="201">
        <f>SUM(F$2:F41)</f>
        <v>0</v>
      </c>
      <c r="J41" s="201">
        <f>Model!F$51</f>
        <v>23678.322499999998</v>
      </c>
      <c r="K41" s="201">
        <f>Model!G$51</f>
        <v>26052.648000000005</v>
      </c>
      <c r="L41" s="201">
        <f>Model!H$51</f>
        <v>27478.056499999995</v>
      </c>
      <c r="M41" s="201">
        <f>Model!I$51</f>
        <v>28903.236999999997</v>
      </c>
      <c r="N41" s="201">
        <f>Model!J$51</f>
        <v>29853.18</v>
      </c>
      <c r="O41" s="201">
        <f>Model!K$51</f>
        <v>0</v>
      </c>
      <c r="P41" s="201">
        <f>Model!L$51</f>
        <v>0</v>
      </c>
      <c r="Q41" s="201">
        <f>Model!M$51</f>
        <v>0</v>
      </c>
      <c r="R41" s="201">
        <f>Model!N$51</f>
        <v>0</v>
      </c>
      <c r="S41" s="201">
        <f>Model!R$51</f>
        <v>25000</v>
      </c>
      <c r="T41" s="204" t="str">
        <f t="shared" si="6"/>
        <v/>
      </c>
      <c r="U41" s="204" t="str">
        <f t="shared" si="7"/>
        <v/>
      </c>
      <c r="V41" s="204" t="str">
        <f t="shared" si="8"/>
        <v/>
      </c>
      <c r="W41" s="204" t="str">
        <f t="shared" si="6"/>
        <v/>
      </c>
      <c r="X41" s="204" t="str">
        <f t="shared" si="6"/>
        <v/>
      </c>
      <c r="Y41" s="204" t="str">
        <f t="shared" si="9"/>
        <v/>
      </c>
      <c r="Z41" s="204" t="str">
        <f t="shared" si="9"/>
        <v/>
      </c>
      <c r="AA41" s="204" t="str">
        <f t="shared" si="9"/>
        <v/>
      </c>
      <c r="AB41" s="204" t="str">
        <f t="shared" si="9"/>
        <v/>
      </c>
      <c r="AC41" s="204" t="str">
        <f t="shared" si="10"/>
        <v/>
      </c>
    </row>
    <row r="42" spans="1:29" x14ac:dyDescent="0.3">
      <c r="A42" s="202">
        <v>41315</v>
      </c>
      <c r="B42" s="203">
        <f t="shared" si="5"/>
        <v>2</v>
      </c>
      <c r="C42" s="203">
        <f t="shared" si="0"/>
        <v>0</v>
      </c>
      <c r="D42" s="201">
        <f t="shared" si="1"/>
        <v>0</v>
      </c>
      <c r="E42" s="201">
        <f t="shared" si="2"/>
        <v>0</v>
      </c>
      <c r="F42" s="201">
        <f t="shared" si="3"/>
        <v>0</v>
      </c>
      <c r="G42" s="201">
        <f>SUM(D$2:D42)</f>
        <v>0</v>
      </c>
      <c r="H42" s="201">
        <f>SUM(E$2:E42)</f>
        <v>0</v>
      </c>
      <c r="I42" s="201">
        <f>SUM(F$2:F42)</f>
        <v>0</v>
      </c>
      <c r="J42" s="201">
        <f>Model!F$51</f>
        <v>23678.322499999998</v>
      </c>
      <c r="K42" s="201">
        <f>Model!G$51</f>
        <v>26052.648000000005</v>
      </c>
      <c r="L42" s="201">
        <f>Model!H$51</f>
        <v>27478.056499999995</v>
      </c>
      <c r="M42" s="201">
        <f>Model!I$51</f>
        <v>28903.236999999997</v>
      </c>
      <c r="N42" s="201">
        <f>Model!J$51</f>
        <v>29853.18</v>
      </c>
      <c r="O42" s="201">
        <f>Model!K$51</f>
        <v>0</v>
      </c>
      <c r="P42" s="201">
        <f>Model!L$51</f>
        <v>0</v>
      </c>
      <c r="Q42" s="201">
        <f>Model!M$51</f>
        <v>0</v>
      </c>
      <c r="R42" s="201">
        <f>Model!N$51</f>
        <v>0</v>
      </c>
      <c r="S42" s="201">
        <f>Model!R$51</f>
        <v>25000</v>
      </c>
      <c r="T42" s="204" t="str">
        <f t="shared" si="6"/>
        <v/>
      </c>
      <c r="U42" s="204" t="str">
        <f t="shared" si="7"/>
        <v/>
      </c>
      <c r="V42" s="204" t="str">
        <f t="shared" si="8"/>
        <v/>
      </c>
      <c r="W42" s="204" t="str">
        <f t="shared" si="6"/>
        <v/>
      </c>
      <c r="X42" s="204" t="str">
        <f t="shared" si="6"/>
        <v/>
      </c>
      <c r="Y42" s="204" t="str">
        <f t="shared" si="9"/>
        <v/>
      </c>
      <c r="Z42" s="204" t="str">
        <f t="shared" si="9"/>
        <v/>
      </c>
      <c r="AA42" s="204" t="str">
        <f t="shared" si="9"/>
        <v/>
      </c>
      <c r="AB42" s="204" t="str">
        <f t="shared" si="9"/>
        <v/>
      </c>
      <c r="AC42" s="204" t="str">
        <f t="shared" si="10"/>
        <v/>
      </c>
    </row>
    <row r="43" spans="1:29" x14ac:dyDescent="0.3">
      <c r="A43" s="202">
        <v>41316</v>
      </c>
      <c r="B43" s="203">
        <f t="shared" si="5"/>
        <v>2</v>
      </c>
      <c r="C43" s="203">
        <f t="shared" si="0"/>
        <v>0</v>
      </c>
      <c r="D43" s="201">
        <f t="shared" si="1"/>
        <v>0</v>
      </c>
      <c r="E43" s="201">
        <f t="shared" si="2"/>
        <v>0</v>
      </c>
      <c r="F43" s="201">
        <f t="shared" si="3"/>
        <v>0</v>
      </c>
      <c r="G43" s="201">
        <f>SUM(D$2:D43)</f>
        <v>0</v>
      </c>
      <c r="H43" s="201">
        <f>SUM(E$2:E43)</f>
        <v>0</v>
      </c>
      <c r="I43" s="201">
        <f>SUM(F$2:F43)</f>
        <v>0</v>
      </c>
      <c r="J43" s="201">
        <f>Model!F$51</f>
        <v>23678.322499999998</v>
      </c>
      <c r="K43" s="201">
        <f>Model!G$51</f>
        <v>26052.648000000005</v>
      </c>
      <c r="L43" s="201">
        <f>Model!H$51</f>
        <v>27478.056499999995</v>
      </c>
      <c r="M43" s="201">
        <f>Model!I$51</f>
        <v>28903.236999999997</v>
      </c>
      <c r="N43" s="201">
        <f>Model!J$51</f>
        <v>29853.18</v>
      </c>
      <c r="O43" s="201">
        <f>Model!K$51</f>
        <v>0</v>
      </c>
      <c r="P43" s="201">
        <f>Model!L$51</f>
        <v>0</v>
      </c>
      <c r="Q43" s="201">
        <f>Model!M$51</f>
        <v>0</v>
      </c>
      <c r="R43" s="201">
        <f>Model!N$51</f>
        <v>0</v>
      </c>
      <c r="S43" s="201">
        <f>Model!R$51</f>
        <v>25000</v>
      </c>
      <c r="T43" s="204" t="str">
        <f t="shared" si="6"/>
        <v/>
      </c>
      <c r="U43" s="204" t="str">
        <f t="shared" si="7"/>
        <v/>
      </c>
      <c r="V43" s="204" t="str">
        <f t="shared" si="8"/>
        <v/>
      </c>
      <c r="W43" s="204" t="str">
        <f t="shared" si="6"/>
        <v/>
      </c>
      <c r="X43" s="204" t="str">
        <f t="shared" si="6"/>
        <v/>
      </c>
      <c r="Y43" s="204" t="str">
        <f t="shared" si="9"/>
        <v/>
      </c>
      <c r="Z43" s="204" t="str">
        <f t="shared" si="9"/>
        <v/>
      </c>
      <c r="AA43" s="204" t="str">
        <f t="shared" si="9"/>
        <v/>
      </c>
      <c r="AB43" s="204" t="str">
        <f t="shared" si="9"/>
        <v/>
      </c>
      <c r="AC43" s="204" t="str">
        <f t="shared" si="10"/>
        <v/>
      </c>
    </row>
    <row r="44" spans="1:29" x14ac:dyDescent="0.3">
      <c r="A44" s="202">
        <v>41317</v>
      </c>
      <c r="B44" s="203">
        <f t="shared" si="5"/>
        <v>2</v>
      </c>
      <c r="C44" s="203">
        <f t="shared" si="0"/>
        <v>0</v>
      </c>
      <c r="D44" s="201">
        <f t="shared" si="1"/>
        <v>0</v>
      </c>
      <c r="E44" s="201">
        <f t="shared" si="2"/>
        <v>0</v>
      </c>
      <c r="F44" s="201">
        <f t="shared" si="3"/>
        <v>0</v>
      </c>
      <c r="G44" s="201">
        <f>SUM(D$2:D44)</f>
        <v>0</v>
      </c>
      <c r="H44" s="201">
        <f>SUM(E$2:E44)</f>
        <v>0</v>
      </c>
      <c r="I44" s="201">
        <f>SUM(F$2:F44)</f>
        <v>0</v>
      </c>
      <c r="J44" s="201">
        <f>Model!F$51</f>
        <v>23678.322499999998</v>
      </c>
      <c r="K44" s="201">
        <f>Model!G$51</f>
        <v>26052.648000000005</v>
      </c>
      <c r="L44" s="201">
        <f>Model!H$51</f>
        <v>27478.056499999995</v>
      </c>
      <c r="M44" s="201">
        <f>Model!I$51</f>
        <v>28903.236999999997</v>
      </c>
      <c r="N44" s="201">
        <f>Model!J$51</f>
        <v>29853.18</v>
      </c>
      <c r="O44" s="201">
        <f>Model!K$51</f>
        <v>0</v>
      </c>
      <c r="P44" s="201">
        <f>Model!L$51</f>
        <v>0</v>
      </c>
      <c r="Q44" s="201">
        <f>Model!M$51</f>
        <v>0</v>
      </c>
      <c r="R44" s="201">
        <f>Model!N$51</f>
        <v>0</v>
      </c>
      <c r="S44" s="201">
        <f>Model!R$51</f>
        <v>25000</v>
      </c>
      <c r="T44" s="204" t="str">
        <f t="shared" si="6"/>
        <v/>
      </c>
      <c r="U44" s="204" t="str">
        <f t="shared" si="7"/>
        <v/>
      </c>
      <c r="V44" s="204" t="str">
        <f t="shared" si="8"/>
        <v/>
      </c>
      <c r="W44" s="204" t="str">
        <f t="shared" si="6"/>
        <v/>
      </c>
      <c r="X44" s="204" t="str">
        <f t="shared" si="6"/>
        <v/>
      </c>
      <c r="Y44" s="204" t="str">
        <f t="shared" si="9"/>
        <v/>
      </c>
      <c r="Z44" s="204" t="str">
        <f t="shared" si="9"/>
        <v/>
      </c>
      <c r="AA44" s="204" t="str">
        <f t="shared" si="9"/>
        <v/>
      </c>
      <c r="AB44" s="204" t="str">
        <f t="shared" si="9"/>
        <v/>
      </c>
      <c r="AC44" s="204" t="str">
        <f t="shared" si="10"/>
        <v/>
      </c>
    </row>
    <row r="45" spans="1:29" x14ac:dyDescent="0.3">
      <c r="A45" s="202">
        <v>41318</v>
      </c>
      <c r="B45" s="203">
        <f t="shared" si="5"/>
        <v>2</v>
      </c>
      <c r="C45" s="203">
        <f t="shared" si="0"/>
        <v>0</v>
      </c>
      <c r="D45" s="201">
        <f t="shared" si="1"/>
        <v>0</v>
      </c>
      <c r="E45" s="201">
        <f t="shared" si="2"/>
        <v>0</v>
      </c>
      <c r="F45" s="201">
        <f t="shared" si="3"/>
        <v>0</v>
      </c>
      <c r="G45" s="201">
        <f>SUM(D$2:D45)</f>
        <v>0</v>
      </c>
      <c r="H45" s="201">
        <f>SUM(E$2:E45)</f>
        <v>0</v>
      </c>
      <c r="I45" s="201">
        <f>SUM(F$2:F45)</f>
        <v>0</v>
      </c>
      <c r="J45" s="201">
        <f>Model!F$51</f>
        <v>23678.322499999998</v>
      </c>
      <c r="K45" s="201">
        <f>Model!G$51</f>
        <v>26052.648000000005</v>
      </c>
      <c r="L45" s="201">
        <f>Model!H$51</f>
        <v>27478.056499999995</v>
      </c>
      <c r="M45" s="201">
        <f>Model!I$51</f>
        <v>28903.236999999997</v>
      </c>
      <c r="N45" s="201">
        <f>Model!J$51</f>
        <v>29853.18</v>
      </c>
      <c r="O45" s="201">
        <f>Model!K$51</f>
        <v>0</v>
      </c>
      <c r="P45" s="201">
        <f>Model!L$51</f>
        <v>0</v>
      </c>
      <c r="Q45" s="201">
        <f>Model!M$51</f>
        <v>0</v>
      </c>
      <c r="R45" s="201">
        <f>Model!N$51</f>
        <v>0</v>
      </c>
      <c r="S45" s="201">
        <f>Model!R$51</f>
        <v>25000</v>
      </c>
      <c r="T45" s="204" t="str">
        <f t="shared" si="6"/>
        <v/>
      </c>
      <c r="U45" s="204" t="str">
        <f t="shared" si="7"/>
        <v/>
      </c>
      <c r="V45" s="204" t="str">
        <f t="shared" si="8"/>
        <v/>
      </c>
      <c r="W45" s="204" t="str">
        <f t="shared" si="6"/>
        <v/>
      </c>
      <c r="X45" s="204" t="str">
        <f t="shared" si="6"/>
        <v/>
      </c>
      <c r="Y45" s="204" t="str">
        <f t="shared" si="9"/>
        <v/>
      </c>
      <c r="Z45" s="204" t="str">
        <f t="shared" si="9"/>
        <v/>
      </c>
      <c r="AA45" s="204" t="str">
        <f t="shared" si="9"/>
        <v/>
      </c>
      <c r="AB45" s="204" t="str">
        <f t="shared" si="9"/>
        <v/>
      </c>
      <c r="AC45" s="204" t="str">
        <f t="shared" si="10"/>
        <v/>
      </c>
    </row>
    <row r="46" spans="1:29" x14ac:dyDescent="0.3">
      <c r="A46" s="202">
        <v>41319</v>
      </c>
      <c r="B46" s="203">
        <f t="shared" si="5"/>
        <v>2</v>
      </c>
      <c r="C46" s="203">
        <f t="shared" si="0"/>
        <v>0</v>
      </c>
      <c r="D46" s="201">
        <f t="shared" si="1"/>
        <v>0</v>
      </c>
      <c r="E46" s="201">
        <f t="shared" si="2"/>
        <v>0</v>
      </c>
      <c r="F46" s="201">
        <f t="shared" si="3"/>
        <v>0</v>
      </c>
      <c r="G46" s="201">
        <f>SUM(D$2:D46)</f>
        <v>0</v>
      </c>
      <c r="H46" s="201">
        <f>SUM(E$2:E46)</f>
        <v>0</v>
      </c>
      <c r="I46" s="201">
        <f>SUM(F$2:F46)</f>
        <v>0</v>
      </c>
      <c r="J46" s="201">
        <f>Model!F$51</f>
        <v>23678.322499999998</v>
      </c>
      <c r="K46" s="201">
        <f>Model!G$51</f>
        <v>26052.648000000005</v>
      </c>
      <c r="L46" s="201">
        <f>Model!H$51</f>
        <v>27478.056499999995</v>
      </c>
      <c r="M46" s="201">
        <f>Model!I$51</f>
        <v>28903.236999999997</v>
      </c>
      <c r="N46" s="201">
        <f>Model!J$51</f>
        <v>29853.18</v>
      </c>
      <c r="O46" s="201">
        <f>Model!K$51</f>
        <v>0</v>
      </c>
      <c r="P46" s="201">
        <f>Model!L$51</f>
        <v>0</v>
      </c>
      <c r="Q46" s="201">
        <f>Model!M$51</f>
        <v>0</v>
      </c>
      <c r="R46" s="201">
        <f>Model!N$51</f>
        <v>0</v>
      </c>
      <c r="S46" s="201">
        <f>Model!R$51</f>
        <v>25000</v>
      </c>
      <c r="T46" s="204" t="str">
        <f t="shared" si="6"/>
        <v/>
      </c>
      <c r="U46" s="204" t="str">
        <f t="shared" si="7"/>
        <v/>
      </c>
      <c r="V46" s="204" t="str">
        <f t="shared" si="8"/>
        <v/>
      </c>
      <c r="W46" s="204" t="str">
        <f t="shared" si="6"/>
        <v/>
      </c>
      <c r="X46" s="204" t="str">
        <f t="shared" si="6"/>
        <v/>
      </c>
      <c r="Y46" s="204" t="str">
        <f t="shared" si="9"/>
        <v/>
      </c>
      <c r="Z46" s="204" t="str">
        <f t="shared" si="9"/>
        <v/>
      </c>
      <c r="AA46" s="204" t="str">
        <f t="shared" si="9"/>
        <v/>
      </c>
      <c r="AB46" s="204" t="str">
        <f t="shared" si="9"/>
        <v/>
      </c>
      <c r="AC46" s="204" t="str">
        <f t="shared" si="10"/>
        <v/>
      </c>
    </row>
    <row r="47" spans="1:29" x14ac:dyDescent="0.3">
      <c r="A47" s="202">
        <v>41320</v>
      </c>
      <c r="B47" s="203">
        <f t="shared" si="5"/>
        <v>2</v>
      </c>
      <c r="C47" s="203">
        <f t="shared" si="0"/>
        <v>0</v>
      </c>
      <c r="D47" s="201">
        <f t="shared" si="1"/>
        <v>0</v>
      </c>
      <c r="E47" s="201">
        <f t="shared" si="2"/>
        <v>0</v>
      </c>
      <c r="F47" s="201">
        <f t="shared" si="3"/>
        <v>0</v>
      </c>
      <c r="G47" s="201">
        <f>SUM(D$2:D47)</f>
        <v>0</v>
      </c>
      <c r="H47" s="201">
        <f>SUM(E$2:E47)</f>
        <v>0</v>
      </c>
      <c r="I47" s="201">
        <f>SUM(F$2:F47)</f>
        <v>0</v>
      </c>
      <c r="J47" s="201">
        <f>Model!F$51</f>
        <v>23678.322499999998</v>
      </c>
      <c r="K47" s="201">
        <f>Model!G$51</f>
        <v>26052.648000000005</v>
      </c>
      <c r="L47" s="201">
        <f>Model!H$51</f>
        <v>27478.056499999995</v>
      </c>
      <c r="M47" s="201">
        <f>Model!I$51</f>
        <v>28903.236999999997</v>
      </c>
      <c r="N47" s="201">
        <f>Model!J$51</f>
        <v>29853.18</v>
      </c>
      <c r="O47" s="201">
        <f>Model!K$51</f>
        <v>0</v>
      </c>
      <c r="P47" s="201">
        <f>Model!L$51</f>
        <v>0</v>
      </c>
      <c r="Q47" s="201">
        <f>Model!M$51</f>
        <v>0</v>
      </c>
      <c r="R47" s="201">
        <f>Model!N$51</f>
        <v>0</v>
      </c>
      <c r="S47" s="201">
        <f>Model!R$51</f>
        <v>25000</v>
      </c>
      <c r="T47" s="204" t="str">
        <f t="shared" si="6"/>
        <v/>
      </c>
      <c r="U47" s="204" t="str">
        <f t="shared" si="7"/>
        <v/>
      </c>
      <c r="V47" s="204" t="str">
        <f t="shared" si="8"/>
        <v/>
      </c>
      <c r="W47" s="204" t="str">
        <f t="shared" si="6"/>
        <v/>
      </c>
      <c r="X47" s="204" t="str">
        <f t="shared" si="6"/>
        <v/>
      </c>
      <c r="Y47" s="204" t="str">
        <f t="shared" si="9"/>
        <v/>
      </c>
      <c r="Z47" s="204" t="str">
        <f t="shared" si="9"/>
        <v/>
      </c>
      <c r="AA47" s="204" t="str">
        <f t="shared" si="9"/>
        <v/>
      </c>
      <c r="AB47" s="204" t="str">
        <f t="shared" si="9"/>
        <v/>
      </c>
      <c r="AC47" s="204" t="str">
        <f t="shared" si="10"/>
        <v/>
      </c>
    </row>
    <row r="48" spans="1:29" x14ac:dyDescent="0.3">
      <c r="A48" s="202">
        <v>41321</v>
      </c>
      <c r="B48" s="203">
        <f t="shared" si="5"/>
        <v>2</v>
      </c>
      <c r="C48" s="203">
        <f t="shared" si="0"/>
        <v>0</v>
      </c>
      <c r="D48" s="201">
        <f t="shared" si="1"/>
        <v>0</v>
      </c>
      <c r="E48" s="201">
        <f t="shared" si="2"/>
        <v>0</v>
      </c>
      <c r="F48" s="201">
        <f t="shared" si="3"/>
        <v>0</v>
      </c>
      <c r="G48" s="201">
        <f>SUM(D$2:D48)</f>
        <v>0</v>
      </c>
      <c r="H48" s="201">
        <f>SUM(E$2:E48)</f>
        <v>0</v>
      </c>
      <c r="I48" s="201">
        <f>SUM(F$2:F48)</f>
        <v>0</v>
      </c>
      <c r="J48" s="201">
        <f>Model!F$51</f>
        <v>23678.322499999998</v>
      </c>
      <c r="K48" s="201">
        <f>Model!G$51</f>
        <v>26052.648000000005</v>
      </c>
      <c r="L48" s="201">
        <f>Model!H$51</f>
        <v>27478.056499999995</v>
      </c>
      <c r="M48" s="201">
        <f>Model!I$51</f>
        <v>28903.236999999997</v>
      </c>
      <c r="N48" s="201">
        <f>Model!J$51</f>
        <v>29853.18</v>
      </c>
      <c r="O48" s="201">
        <f>Model!K$51</f>
        <v>0</v>
      </c>
      <c r="P48" s="201">
        <f>Model!L$51</f>
        <v>0</v>
      </c>
      <c r="Q48" s="201">
        <f>Model!M$51</f>
        <v>0</v>
      </c>
      <c r="R48" s="201">
        <f>Model!N$51</f>
        <v>0</v>
      </c>
      <c r="S48" s="201">
        <f>Model!R$51</f>
        <v>25000</v>
      </c>
      <c r="T48" s="204" t="str">
        <f t="shared" si="6"/>
        <v/>
      </c>
      <c r="U48" s="204" t="str">
        <f t="shared" si="7"/>
        <v/>
      </c>
      <c r="V48" s="204" t="str">
        <f t="shared" si="8"/>
        <v/>
      </c>
      <c r="W48" s="204" t="str">
        <f t="shared" si="6"/>
        <v/>
      </c>
      <c r="X48" s="204" t="str">
        <f t="shared" si="6"/>
        <v/>
      </c>
      <c r="Y48" s="204" t="str">
        <f t="shared" si="9"/>
        <v/>
      </c>
      <c r="Z48" s="204" t="str">
        <f t="shared" si="9"/>
        <v/>
      </c>
      <c r="AA48" s="204" t="str">
        <f t="shared" si="9"/>
        <v/>
      </c>
      <c r="AB48" s="204" t="str">
        <f t="shared" si="9"/>
        <v/>
      </c>
      <c r="AC48" s="204" t="str">
        <f t="shared" si="10"/>
        <v/>
      </c>
    </row>
    <row r="49" spans="1:29" x14ac:dyDescent="0.3">
      <c r="A49" s="202">
        <v>41322</v>
      </c>
      <c r="B49" s="203">
        <f t="shared" si="5"/>
        <v>2</v>
      </c>
      <c r="C49" s="203">
        <f t="shared" si="0"/>
        <v>0</v>
      </c>
      <c r="D49" s="201">
        <f t="shared" si="1"/>
        <v>0</v>
      </c>
      <c r="E49" s="201">
        <f t="shared" si="2"/>
        <v>0</v>
      </c>
      <c r="F49" s="201">
        <f t="shared" si="3"/>
        <v>0</v>
      </c>
      <c r="G49" s="201">
        <f>SUM(D$2:D49)</f>
        <v>0</v>
      </c>
      <c r="H49" s="201">
        <f>SUM(E$2:E49)</f>
        <v>0</v>
      </c>
      <c r="I49" s="201">
        <f>SUM(F$2:F49)</f>
        <v>0</v>
      </c>
      <c r="J49" s="201">
        <f>Model!F$51</f>
        <v>23678.322499999998</v>
      </c>
      <c r="K49" s="201">
        <f>Model!G$51</f>
        <v>26052.648000000005</v>
      </c>
      <c r="L49" s="201">
        <f>Model!H$51</f>
        <v>27478.056499999995</v>
      </c>
      <c r="M49" s="201">
        <f>Model!I$51</f>
        <v>28903.236999999997</v>
      </c>
      <c r="N49" s="201">
        <f>Model!J$51</f>
        <v>29853.18</v>
      </c>
      <c r="O49" s="201">
        <f>Model!K$51</f>
        <v>0</v>
      </c>
      <c r="P49" s="201">
        <f>Model!L$51</f>
        <v>0</v>
      </c>
      <c r="Q49" s="201">
        <f>Model!M$51</f>
        <v>0</v>
      </c>
      <c r="R49" s="201">
        <f>Model!N$51</f>
        <v>0</v>
      </c>
      <c r="S49" s="201">
        <f>Model!R$51</f>
        <v>25000</v>
      </c>
      <c r="T49" s="204" t="str">
        <f t="shared" si="6"/>
        <v/>
      </c>
      <c r="U49" s="204" t="str">
        <f t="shared" si="7"/>
        <v/>
      </c>
      <c r="V49" s="204" t="str">
        <f t="shared" si="8"/>
        <v/>
      </c>
      <c r="W49" s="204" t="str">
        <f t="shared" si="6"/>
        <v/>
      </c>
      <c r="X49" s="204" t="str">
        <f t="shared" si="6"/>
        <v/>
      </c>
      <c r="Y49" s="204" t="str">
        <f t="shared" si="9"/>
        <v/>
      </c>
      <c r="Z49" s="204" t="str">
        <f t="shared" si="9"/>
        <v/>
      </c>
      <c r="AA49" s="204" t="str">
        <f t="shared" si="9"/>
        <v/>
      </c>
      <c r="AB49" s="204" t="str">
        <f t="shared" si="9"/>
        <v/>
      </c>
      <c r="AC49" s="204" t="str">
        <f t="shared" si="10"/>
        <v/>
      </c>
    </row>
    <row r="50" spans="1:29" x14ac:dyDescent="0.3">
      <c r="A50" s="202">
        <v>41323</v>
      </c>
      <c r="B50" s="203">
        <f t="shared" si="5"/>
        <v>2</v>
      </c>
      <c r="C50" s="203">
        <f t="shared" si="0"/>
        <v>0</v>
      </c>
      <c r="D50" s="201">
        <f t="shared" si="1"/>
        <v>0</v>
      </c>
      <c r="E50" s="201">
        <f t="shared" si="2"/>
        <v>0</v>
      </c>
      <c r="F50" s="201">
        <f t="shared" si="3"/>
        <v>0</v>
      </c>
      <c r="G50" s="201">
        <f>SUM(D$2:D50)</f>
        <v>0</v>
      </c>
      <c r="H50" s="201">
        <f>SUM(E$2:E50)</f>
        <v>0</v>
      </c>
      <c r="I50" s="201">
        <f>SUM(F$2:F50)</f>
        <v>0</v>
      </c>
      <c r="J50" s="201">
        <f>Model!F$51</f>
        <v>23678.322499999998</v>
      </c>
      <c r="K50" s="201">
        <f>Model!G$51</f>
        <v>26052.648000000005</v>
      </c>
      <c r="L50" s="201">
        <f>Model!H$51</f>
        <v>27478.056499999995</v>
      </c>
      <c r="M50" s="201">
        <f>Model!I$51</f>
        <v>28903.236999999997</v>
      </c>
      <c r="N50" s="201">
        <f>Model!J$51</f>
        <v>29853.18</v>
      </c>
      <c r="O50" s="201">
        <f>Model!K$51</f>
        <v>0</v>
      </c>
      <c r="P50" s="201">
        <f>Model!L$51</f>
        <v>0</v>
      </c>
      <c r="Q50" s="201">
        <f>Model!M$51</f>
        <v>0</v>
      </c>
      <c r="R50" s="201">
        <f>Model!N$51</f>
        <v>0</v>
      </c>
      <c r="S50" s="201">
        <f>Model!R$51</f>
        <v>25000</v>
      </c>
      <c r="T50" s="204" t="str">
        <f t="shared" si="6"/>
        <v/>
      </c>
      <c r="U50" s="204" t="str">
        <f t="shared" si="7"/>
        <v/>
      </c>
      <c r="V50" s="204" t="str">
        <f t="shared" si="8"/>
        <v/>
      </c>
      <c r="W50" s="204" t="str">
        <f t="shared" si="6"/>
        <v/>
      </c>
      <c r="X50" s="204" t="str">
        <f t="shared" si="6"/>
        <v/>
      </c>
      <c r="Y50" s="204" t="str">
        <f t="shared" si="9"/>
        <v/>
      </c>
      <c r="Z50" s="204" t="str">
        <f t="shared" si="9"/>
        <v/>
      </c>
      <c r="AA50" s="204" t="str">
        <f t="shared" si="9"/>
        <v/>
      </c>
      <c r="AB50" s="204" t="str">
        <f t="shared" si="9"/>
        <v/>
      </c>
      <c r="AC50" s="204" t="str">
        <f t="shared" si="10"/>
        <v/>
      </c>
    </row>
    <row r="51" spans="1:29" x14ac:dyDescent="0.3">
      <c r="A51" s="202">
        <v>41324</v>
      </c>
      <c r="B51" s="203">
        <f t="shared" si="5"/>
        <v>2</v>
      </c>
      <c r="C51" s="203">
        <f t="shared" si="0"/>
        <v>0</v>
      </c>
      <c r="D51" s="201">
        <f t="shared" si="1"/>
        <v>0</v>
      </c>
      <c r="E51" s="201">
        <f t="shared" si="2"/>
        <v>0</v>
      </c>
      <c r="F51" s="201">
        <f t="shared" si="3"/>
        <v>0</v>
      </c>
      <c r="G51" s="201">
        <f>SUM(D$2:D51)</f>
        <v>0</v>
      </c>
      <c r="H51" s="201">
        <f>SUM(E$2:E51)</f>
        <v>0</v>
      </c>
      <c r="I51" s="201">
        <f>SUM(F$2:F51)</f>
        <v>0</v>
      </c>
      <c r="J51" s="201">
        <f>Model!F$51</f>
        <v>23678.322499999998</v>
      </c>
      <c r="K51" s="201">
        <f>Model!G$51</f>
        <v>26052.648000000005</v>
      </c>
      <c r="L51" s="201">
        <f>Model!H$51</f>
        <v>27478.056499999995</v>
      </c>
      <c r="M51" s="201">
        <f>Model!I$51</f>
        <v>28903.236999999997</v>
      </c>
      <c r="N51" s="201">
        <f>Model!J$51</f>
        <v>29853.18</v>
      </c>
      <c r="O51" s="201">
        <f>Model!K$51</f>
        <v>0</v>
      </c>
      <c r="P51" s="201">
        <f>Model!L$51</f>
        <v>0</v>
      </c>
      <c r="Q51" s="201">
        <f>Model!M$51</f>
        <v>0</v>
      </c>
      <c r="R51" s="201">
        <f>Model!N$51</f>
        <v>0</v>
      </c>
      <c r="S51" s="201">
        <f>Model!R$51</f>
        <v>25000</v>
      </c>
      <c r="T51" s="204" t="str">
        <f t="shared" si="6"/>
        <v/>
      </c>
      <c r="U51" s="204" t="str">
        <f t="shared" si="7"/>
        <v/>
      </c>
      <c r="V51" s="204" t="str">
        <f t="shared" si="8"/>
        <v/>
      </c>
      <c r="W51" s="204" t="str">
        <f t="shared" si="6"/>
        <v/>
      </c>
      <c r="X51" s="204" t="str">
        <f t="shared" si="6"/>
        <v/>
      </c>
      <c r="Y51" s="204" t="str">
        <f t="shared" si="9"/>
        <v/>
      </c>
      <c r="Z51" s="204" t="str">
        <f t="shared" si="9"/>
        <v/>
      </c>
      <c r="AA51" s="204" t="str">
        <f t="shared" si="9"/>
        <v/>
      </c>
      <c r="AB51" s="204" t="str">
        <f t="shared" si="9"/>
        <v/>
      </c>
      <c r="AC51" s="204" t="str">
        <f t="shared" si="10"/>
        <v/>
      </c>
    </row>
    <row r="52" spans="1:29" x14ac:dyDescent="0.3">
      <c r="A52" s="202">
        <v>41325</v>
      </c>
      <c r="B52" s="203">
        <f t="shared" si="5"/>
        <v>2</v>
      </c>
      <c r="C52" s="203">
        <f t="shared" si="0"/>
        <v>0</v>
      </c>
      <c r="D52" s="201">
        <f t="shared" si="1"/>
        <v>0</v>
      </c>
      <c r="E52" s="201">
        <f t="shared" si="2"/>
        <v>0</v>
      </c>
      <c r="F52" s="201">
        <f t="shared" si="3"/>
        <v>0</v>
      </c>
      <c r="G52" s="201">
        <f>SUM(D$2:D52)</f>
        <v>0</v>
      </c>
      <c r="H52" s="201">
        <f>SUM(E$2:E52)</f>
        <v>0</v>
      </c>
      <c r="I52" s="201">
        <f>SUM(F$2:F52)</f>
        <v>0</v>
      </c>
      <c r="J52" s="201">
        <f>Model!F$51</f>
        <v>23678.322499999998</v>
      </c>
      <c r="K52" s="201">
        <f>Model!G$51</f>
        <v>26052.648000000005</v>
      </c>
      <c r="L52" s="201">
        <f>Model!H$51</f>
        <v>27478.056499999995</v>
      </c>
      <c r="M52" s="201">
        <f>Model!I$51</f>
        <v>28903.236999999997</v>
      </c>
      <c r="N52" s="201">
        <f>Model!J$51</f>
        <v>29853.18</v>
      </c>
      <c r="O52" s="201">
        <f>Model!K$51</f>
        <v>0</v>
      </c>
      <c r="P52" s="201">
        <f>Model!L$51</f>
        <v>0</v>
      </c>
      <c r="Q52" s="201">
        <f>Model!M$51</f>
        <v>0</v>
      </c>
      <c r="R52" s="201">
        <f>Model!N$51</f>
        <v>0</v>
      </c>
      <c r="S52" s="201">
        <f>Model!R$51</f>
        <v>25000</v>
      </c>
      <c r="T52" s="204" t="str">
        <f t="shared" si="6"/>
        <v/>
      </c>
      <c r="U52" s="204" t="str">
        <f t="shared" si="7"/>
        <v/>
      </c>
      <c r="V52" s="204" t="str">
        <f t="shared" si="8"/>
        <v/>
      </c>
      <c r="W52" s="204" t="str">
        <f t="shared" si="6"/>
        <v/>
      </c>
      <c r="X52" s="204" t="str">
        <f t="shared" si="6"/>
        <v/>
      </c>
      <c r="Y52" s="204" t="str">
        <f t="shared" si="9"/>
        <v/>
      </c>
      <c r="Z52" s="204" t="str">
        <f t="shared" si="9"/>
        <v/>
      </c>
      <c r="AA52" s="204" t="str">
        <f t="shared" si="9"/>
        <v/>
      </c>
      <c r="AB52" s="204" t="str">
        <f t="shared" si="9"/>
        <v/>
      </c>
      <c r="AC52" s="204" t="str">
        <f t="shared" si="10"/>
        <v/>
      </c>
    </row>
    <row r="53" spans="1:29" x14ac:dyDescent="0.3">
      <c r="A53" s="202">
        <v>41326</v>
      </c>
      <c r="B53" s="203">
        <f t="shared" si="5"/>
        <v>2</v>
      </c>
      <c r="C53" s="203">
        <f t="shared" si="0"/>
        <v>0</v>
      </c>
      <c r="D53" s="201">
        <f t="shared" si="1"/>
        <v>0</v>
      </c>
      <c r="E53" s="201">
        <f t="shared" si="2"/>
        <v>0</v>
      </c>
      <c r="F53" s="201">
        <f t="shared" si="3"/>
        <v>0</v>
      </c>
      <c r="G53" s="201">
        <f>SUM(D$2:D53)</f>
        <v>0</v>
      </c>
      <c r="H53" s="201">
        <f>SUM(E$2:E53)</f>
        <v>0</v>
      </c>
      <c r="I53" s="201">
        <f>SUM(F$2:F53)</f>
        <v>0</v>
      </c>
      <c r="J53" s="201">
        <f>Model!F$51</f>
        <v>23678.322499999998</v>
      </c>
      <c r="K53" s="201">
        <f>Model!G$51</f>
        <v>26052.648000000005</v>
      </c>
      <c r="L53" s="201">
        <f>Model!H$51</f>
        <v>27478.056499999995</v>
      </c>
      <c r="M53" s="201">
        <f>Model!I$51</f>
        <v>28903.236999999997</v>
      </c>
      <c r="N53" s="201">
        <f>Model!J$51</f>
        <v>29853.18</v>
      </c>
      <c r="O53" s="201">
        <f>Model!K$51</f>
        <v>0</v>
      </c>
      <c r="P53" s="201">
        <f>Model!L$51</f>
        <v>0</v>
      </c>
      <c r="Q53" s="201">
        <f>Model!M$51</f>
        <v>0</v>
      </c>
      <c r="R53" s="201">
        <f>Model!N$51</f>
        <v>0</v>
      </c>
      <c r="S53" s="201">
        <f>Model!R$51</f>
        <v>25000</v>
      </c>
      <c r="T53" s="204" t="str">
        <f t="shared" si="6"/>
        <v/>
      </c>
      <c r="U53" s="204" t="str">
        <f t="shared" si="7"/>
        <v/>
      </c>
      <c r="V53" s="204" t="str">
        <f t="shared" si="8"/>
        <v/>
      </c>
      <c r="W53" s="204" t="str">
        <f t="shared" si="6"/>
        <v/>
      </c>
      <c r="X53" s="204" t="str">
        <f t="shared" si="6"/>
        <v/>
      </c>
      <c r="Y53" s="204" t="str">
        <f t="shared" si="9"/>
        <v/>
      </c>
      <c r="Z53" s="204" t="str">
        <f t="shared" si="9"/>
        <v/>
      </c>
      <c r="AA53" s="204" t="str">
        <f t="shared" si="9"/>
        <v/>
      </c>
      <c r="AB53" s="204" t="str">
        <f t="shared" si="9"/>
        <v/>
      </c>
      <c r="AC53" s="204" t="str">
        <f t="shared" si="10"/>
        <v/>
      </c>
    </row>
    <row r="54" spans="1:29" x14ac:dyDescent="0.3">
      <c r="A54" s="202">
        <v>41327</v>
      </c>
      <c r="B54" s="203">
        <f t="shared" si="5"/>
        <v>2</v>
      </c>
      <c r="C54" s="203">
        <f t="shared" si="0"/>
        <v>0</v>
      </c>
      <c r="D54" s="201">
        <f t="shared" si="1"/>
        <v>0</v>
      </c>
      <c r="E54" s="201">
        <f t="shared" si="2"/>
        <v>0</v>
      </c>
      <c r="F54" s="201">
        <f t="shared" si="3"/>
        <v>0</v>
      </c>
      <c r="G54" s="201">
        <f>SUM(D$2:D54)</f>
        <v>0</v>
      </c>
      <c r="H54" s="201">
        <f>SUM(E$2:E54)</f>
        <v>0</v>
      </c>
      <c r="I54" s="201">
        <f>SUM(F$2:F54)</f>
        <v>0</v>
      </c>
      <c r="J54" s="201">
        <f>Model!F$51</f>
        <v>23678.322499999998</v>
      </c>
      <c r="K54" s="201">
        <f>Model!G$51</f>
        <v>26052.648000000005</v>
      </c>
      <c r="L54" s="201">
        <f>Model!H$51</f>
        <v>27478.056499999995</v>
      </c>
      <c r="M54" s="201">
        <f>Model!I$51</f>
        <v>28903.236999999997</v>
      </c>
      <c r="N54" s="201">
        <f>Model!J$51</f>
        <v>29853.18</v>
      </c>
      <c r="O54" s="201">
        <f>Model!K$51</f>
        <v>0</v>
      </c>
      <c r="P54" s="201">
        <f>Model!L$51</f>
        <v>0</v>
      </c>
      <c r="Q54" s="201">
        <f>Model!M$51</f>
        <v>0</v>
      </c>
      <c r="R54" s="201">
        <f>Model!N$51</f>
        <v>0</v>
      </c>
      <c r="S54" s="201">
        <f>Model!R$51</f>
        <v>25000</v>
      </c>
      <c r="T54" s="204" t="str">
        <f t="shared" si="6"/>
        <v/>
      </c>
      <c r="U54" s="204" t="str">
        <f t="shared" si="7"/>
        <v/>
      </c>
      <c r="V54" s="204" t="str">
        <f t="shared" si="8"/>
        <v/>
      </c>
      <c r="W54" s="204" t="str">
        <f t="shared" si="6"/>
        <v/>
      </c>
      <c r="X54" s="204" t="str">
        <f t="shared" si="6"/>
        <v/>
      </c>
      <c r="Y54" s="204" t="str">
        <f t="shared" si="9"/>
        <v/>
      </c>
      <c r="Z54" s="204" t="str">
        <f t="shared" si="9"/>
        <v/>
      </c>
      <c r="AA54" s="204" t="str">
        <f t="shared" si="9"/>
        <v/>
      </c>
      <c r="AB54" s="204" t="str">
        <f t="shared" si="9"/>
        <v/>
      </c>
      <c r="AC54" s="204" t="str">
        <f t="shared" si="10"/>
        <v/>
      </c>
    </row>
    <row r="55" spans="1:29" x14ac:dyDescent="0.3">
      <c r="A55" s="202">
        <v>41328</v>
      </c>
      <c r="B55" s="203">
        <f t="shared" si="5"/>
        <v>2</v>
      </c>
      <c r="C55" s="203">
        <f t="shared" si="0"/>
        <v>0</v>
      </c>
      <c r="D55" s="201">
        <f t="shared" si="1"/>
        <v>0</v>
      </c>
      <c r="E55" s="201">
        <f t="shared" si="2"/>
        <v>0</v>
      </c>
      <c r="F55" s="201">
        <f t="shared" si="3"/>
        <v>0</v>
      </c>
      <c r="G55" s="201">
        <f>SUM(D$2:D55)</f>
        <v>0</v>
      </c>
      <c r="H55" s="201">
        <f>SUM(E$2:E55)</f>
        <v>0</v>
      </c>
      <c r="I55" s="201">
        <f>SUM(F$2:F55)</f>
        <v>0</v>
      </c>
      <c r="J55" s="201">
        <f>Model!F$51</f>
        <v>23678.322499999998</v>
      </c>
      <c r="K55" s="201">
        <f>Model!G$51</f>
        <v>26052.648000000005</v>
      </c>
      <c r="L55" s="201">
        <f>Model!H$51</f>
        <v>27478.056499999995</v>
      </c>
      <c r="M55" s="201">
        <f>Model!I$51</f>
        <v>28903.236999999997</v>
      </c>
      <c r="N55" s="201">
        <f>Model!J$51</f>
        <v>29853.18</v>
      </c>
      <c r="O55" s="201">
        <f>Model!K$51</f>
        <v>0</v>
      </c>
      <c r="P55" s="201">
        <f>Model!L$51</f>
        <v>0</v>
      </c>
      <c r="Q55" s="201">
        <f>Model!M$51</f>
        <v>0</v>
      </c>
      <c r="R55" s="201">
        <f>Model!N$51</f>
        <v>0</v>
      </c>
      <c r="S55" s="201">
        <f>Model!R$51</f>
        <v>25000</v>
      </c>
      <c r="T55" s="204" t="str">
        <f t="shared" si="6"/>
        <v/>
      </c>
      <c r="U55" s="204" t="str">
        <f t="shared" si="7"/>
        <v/>
      </c>
      <c r="V55" s="204" t="str">
        <f t="shared" si="8"/>
        <v/>
      </c>
      <c r="W55" s="204" t="str">
        <f t="shared" si="6"/>
        <v/>
      </c>
      <c r="X55" s="204" t="str">
        <f t="shared" si="6"/>
        <v/>
      </c>
      <c r="Y55" s="204" t="str">
        <f t="shared" si="9"/>
        <v/>
      </c>
      <c r="Z55" s="204" t="str">
        <f t="shared" si="9"/>
        <v/>
      </c>
      <c r="AA55" s="204" t="str">
        <f t="shared" si="9"/>
        <v/>
      </c>
      <c r="AB55" s="204" t="str">
        <f t="shared" si="9"/>
        <v/>
      </c>
      <c r="AC55" s="204" t="str">
        <f t="shared" si="10"/>
        <v/>
      </c>
    </row>
    <row r="56" spans="1:29" x14ac:dyDescent="0.3">
      <c r="A56" s="202">
        <v>41329</v>
      </c>
      <c r="B56" s="203">
        <f t="shared" si="5"/>
        <v>2</v>
      </c>
      <c r="C56" s="203">
        <f t="shared" si="0"/>
        <v>0</v>
      </c>
      <c r="D56" s="201">
        <f t="shared" si="1"/>
        <v>0</v>
      </c>
      <c r="E56" s="201">
        <f t="shared" si="2"/>
        <v>0</v>
      </c>
      <c r="F56" s="201">
        <f t="shared" si="3"/>
        <v>0</v>
      </c>
      <c r="G56" s="201">
        <f>SUM(D$2:D56)</f>
        <v>0</v>
      </c>
      <c r="H56" s="201">
        <f>SUM(E$2:E56)</f>
        <v>0</v>
      </c>
      <c r="I56" s="201">
        <f>SUM(F$2:F56)</f>
        <v>0</v>
      </c>
      <c r="J56" s="201">
        <f>Model!F$51</f>
        <v>23678.322499999998</v>
      </c>
      <c r="K56" s="201">
        <f>Model!G$51</f>
        <v>26052.648000000005</v>
      </c>
      <c r="L56" s="201">
        <f>Model!H$51</f>
        <v>27478.056499999995</v>
      </c>
      <c r="M56" s="201">
        <f>Model!I$51</f>
        <v>28903.236999999997</v>
      </c>
      <c r="N56" s="201">
        <f>Model!J$51</f>
        <v>29853.18</v>
      </c>
      <c r="O56" s="201">
        <f>Model!K$51</f>
        <v>0</v>
      </c>
      <c r="P56" s="201">
        <f>Model!L$51</f>
        <v>0</v>
      </c>
      <c r="Q56" s="201">
        <f>Model!M$51</f>
        <v>0</v>
      </c>
      <c r="R56" s="201">
        <f>Model!N$51</f>
        <v>0</v>
      </c>
      <c r="S56" s="201">
        <f>Model!R$51</f>
        <v>25000</v>
      </c>
      <c r="T56" s="204" t="str">
        <f t="shared" si="6"/>
        <v/>
      </c>
      <c r="U56" s="204" t="str">
        <f t="shared" si="7"/>
        <v/>
      </c>
      <c r="V56" s="204" t="str">
        <f t="shared" si="8"/>
        <v/>
      </c>
      <c r="W56" s="204" t="str">
        <f t="shared" si="6"/>
        <v/>
      </c>
      <c r="X56" s="204" t="str">
        <f t="shared" si="6"/>
        <v/>
      </c>
      <c r="Y56" s="204" t="str">
        <f t="shared" si="9"/>
        <v/>
      </c>
      <c r="Z56" s="204" t="str">
        <f t="shared" si="9"/>
        <v/>
      </c>
      <c r="AA56" s="204" t="str">
        <f t="shared" si="9"/>
        <v/>
      </c>
      <c r="AB56" s="204" t="str">
        <f t="shared" si="9"/>
        <v/>
      </c>
      <c r="AC56" s="204" t="str">
        <f t="shared" si="10"/>
        <v/>
      </c>
    </row>
    <row r="57" spans="1:29" x14ac:dyDescent="0.3">
      <c r="A57" s="202">
        <v>41330</v>
      </c>
      <c r="B57" s="203">
        <f t="shared" si="5"/>
        <v>2</v>
      </c>
      <c r="C57" s="203">
        <f t="shared" si="0"/>
        <v>0</v>
      </c>
      <c r="D57" s="201">
        <f t="shared" si="1"/>
        <v>0</v>
      </c>
      <c r="E57" s="201">
        <f t="shared" si="2"/>
        <v>0</v>
      </c>
      <c r="F57" s="201">
        <f t="shared" si="3"/>
        <v>0</v>
      </c>
      <c r="G57" s="201">
        <f>SUM(D$2:D57)</f>
        <v>0</v>
      </c>
      <c r="H57" s="201">
        <f>SUM(E$2:E57)</f>
        <v>0</v>
      </c>
      <c r="I57" s="201">
        <f>SUM(F$2:F57)</f>
        <v>0</v>
      </c>
      <c r="J57" s="201">
        <f>Model!F$51</f>
        <v>23678.322499999998</v>
      </c>
      <c r="K57" s="201">
        <f>Model!G$51</f>
        <v>26052.648000000005</v>
      </c>
      <c r="L57" s="201">
        <f>Model!H$51</f>
        <v>27478.056499999995</v>
      </c>
      <c r="M57" s="201">
        <f>Model!I$51</f>
        <v>28903.236999999997</v>
      </c>
      <c r="N57" s="201">
        <f>Model!J$51</f>
        <v>29853.18</v>
      </c>
      <c r="O57" s="201">
        <f>Model!K$51</f>
        <v>0</v>
      </c>
      <c r="P57" s="201">
        <f>Model!L$51</f>
        <v>0</v>
      </c>
      <c r="Q57" s="201">
        <f>Model!M$51</f>
        <v>0</v>
      </c>
      <c r="R57" s="201">
        <f>Model!N$51</f>
        <v>0</v>
      </c>
      <c r="S57" s="201">
        <f>Model!R$51</f>
        <v>25000</v>
      </c>
      <c r="T57" s="204" t="str">
        <f t="shared" si="6"/>
        <v/>
      </c>
      <c r="U57" s="204" t="str">
        <f t="shared" si="7"/>
        <v/>
      </c>
      <c r="V57" s="204" t="str">
        <f t="shared" si="8"/>
        <v/>
      </c>
      <c r="W57" s="204" t="str">
        <f t="shared" si="6"/>
        <v/>
      </c>
      <c r="X57" s="204" t="str">
        <f t="shared" si="6"/>
        <v/>
      </c>
      <c r="Y57" s="204" t="str">
        <f t="shared" si="9"/>
        <v/>
      </c>
      <c r="Z57" s="204" t="str">
        <f t="shared" si="9"/>
        <v/>
      </c>
      <c r="AA57" s="204" t="str">
        <f t="shared" si="9"/>
        <v/>
      </c>
      <c r="AB57" s="204" t="str">
        <f t="shared" si="9"/>
        <v/>
      </c>
      <c r="AC57" s="204" t="str">
        <f t="shared" si="10"/>
        <v/>
      </c>
    </row>
    <row r="58" spans="1:29" x14ac:dyDescent="0.3">
      <c r="A58" s="202">
        <v>41331</v>
      </c>
      <c r="B58" s="203">
        <f t="shared" si="5"/>
        <v>2</v>
      </c>
      <c r="C58" s="203">
        <f t="shared" si="0"/>
        <v>0</v>
      </c>
      <c r="D58" s="201">
        <f t="shared" si="1"/>
        <v>0</v>
      </c>
      <c r="E58" s="201">
        <f t="shared" si="2"/>
        <v>0</v>
      </c>
      <c r="F58" s="201">
        <f t="shared" si="3"/>
        <v>0</v>
      </c>
      <c r="G58" s="201">
        <f>SUM(D$2:D58)</f>
        <v>0</v>
      </c>
      <c r="H58" s="201">
        <f>SUM(E$2:E58)</f>
        <v>0</v>
      </c>
      <c r="I58" s="201">
        <f>SUM(F$2:F58)</f>
        <v>0</v>
      </c>
      <c r="J58" s="201">
        <f>Model!F$51</f>
        <v>23678.322499999998</v>
      </c>
      <c r="K58" s="201">
        <f>Model!G$51</f>
        <v>26052.648000000005</v>
      </c>
      <c r="L58" s="201">
        <f>Model!H$51</f>
        <v>27478.056499999995</v>
      </c>
      <c r="M58" s="201">
        <f>Model!I$51</f>
        <v>28903.236999999997</v>
      </c>
      <c r="N58" s="201">
        <f>Model!J$51</f>
        <v>29853.18</v>
      </c>
      <c r="O58" s="201">
        <f>Model!K$51</f>
        <v>0</v>
      </c>
      <c r="P58" s="201">
        <f>Model!L$51</f>
        <v>0</v>
      </c>
      <c r="Q58" s="201">
        <f>Model!M$51</f>
        <v>0</v>
      </c>
      <c r="R58" s="201">
        <f>Model!N$51</f>
        <v>0</v>
      </c>
      <c r="S58" s="201">
        <f>Model!R$51</f>
        <v>25000</v>
      </c>
      <c r="T58" s="204" t="str">
        <f t="shared" si="6"/>
        <v/>
      </c>
      <c r="U58" s="204" t="str">
        <f t="shared" si="7"/>
        <v/>
      </c>
      <c r="V58" s="204" t="str">
        <f t="shared" si="8"/>
        <v/>
      </c>
      <c r="W58" s="204" t="str">
        <f t="shared" si="6"/>
        <v/>
      </c>
      <c r="X58" s="204" t="str">
        <f t="shared" si="6"/>
        <v/>
      </c>
      <c r="Y58" s="204" t="str">
        <f t="shared" si="9"/>
        <v/>
      </c>
      <c r="Z58" s="204" t="str">
        <f t="shared" si="9"/>
        <v/>
      </c>
      <c r="AA58" s="204" t="str">
        <f t="shared" si="9"/>
        <v/>
      </c>
      <c r="AB58" s="204" t="str">
        <f t="shared" si="9"/>
        <v/>
      </c>
      <c r="AC58" s="204" t="str">
        <f t="shared" si="10"/>
        <v/>
      </c>
    </row>
    <row r="59" spans="1:29" x14ac:dyDescent="0.3">
      <c r="A59" s="202">
        <v>41332</v>
      </c>
      <c r="B59" s="203">
        <f t="shared" si="5"/>
        <v>2</v>
      </c>
      <c r="C59" s="203">
        <f t="shared" si="0"/>
        <v>0</v>
      </c>
      <c r="D59" s="201">
        <f t="shared" si="1"/>
        <v>0</v>
      </c>
      <c r="E59" s="201">
        <f t="shared" si="2"/>
        <v>0</v>
      </c>
      <c r="F59" s="201">
        <f t="shared" si="3"/>
        <v>0</v>
      </c>
      <c r="G59" s="201">
        <f>SUM(D$2:D59)</f>
        <v>0</v>
      </c>
      <c r="H59" s="201">
        <f>SUM(E$2:E59)</f>
        <v>0</v>
      </c>
      <c r="I59" s="201">
        <f>SUM(F$2:F59)</f>
        <v>0</v>
      </c>
      <c r="J59" s="201">
        <f>Model!F$51</f>
        <v>23678.322499999998</v>
      </c>
      <c r="K59" s="201">
        <f>Model!G$51</f>
        <v>26052.648000000005</v>
      </c>
      <c r="L59" s="201">
        <f>Model!H$51</f>
        <v>27478.056499999995</v>
      </c>
      <c r="M59" s="201">
        <f>Model!I$51</f>
        <v>28903.236999999997</v>
      </c>
      <c r="N59" s="201">
        <f>Model!J$51</f>
        <v>29853.18</v>
      </c>
      <c r="O59" s="201">
        <f>Model!K$51</f>
        <v>0</v>
      </c>
      <c r="P59" s="201">
        <f>Model!L$51</f>
        <v>0</v>
      </c>
      <c r="Q59" s="201">
        <f>Model!M$51</f>
        <v>0</v>
      </c>
      <c r="R59" s="201">
        <f>Model!N$51</f>
        <v>0</v>
      </c>
      <c r="S59" s="201">
        <f>Model!R$51</f>
        <v>25000</v>
      </c>
      <c r="T59" s="204" t="str">
        <f t="shared" si="6"/>
        <v/>
      </c>
      <c r="U59" s="204" t="str">
        <f t="shared" si="7"/>
        <v/>
      </c>
      <c r="V59" s="204" t="str">
        <f t="shared" si="8"/>
        <v/>
      </c>
      <c r="W59" s="204" t="str">
        <f t="shared" si="6"/>
        <v/>
      </c>
      <c r="X59" s="204" t="str">
        <f t="shared" si="6"/>
        <v/>
      </c>
      <c r="Y59" s="204" t="str">
        <f t="shared" si="9"/>
        <v/>
      </c>
      <c r="Z59" s="204" t="str">
        <f t="shared" si="9"/>
        <v/>
      </c>
      <c r="AA59" s="204" t="str">
        <f t="shared" si="9"/>
        <v/>
      </c>
      <c r="AB59" s="204" t="str">
        <f t="shared" si="9"/>
        <v/>
      </c>
      <c r="AC59" s="204" t="str">
        <f t="shared" si="10"/>
        <v/>
      </c>
    </row>
    <row r="60" spans="1:29" x14ac:dyDescent="0.3">
      <c r="A60" s="202">
        <v>41333</v>
      </c>
      <c r="B60" s="203">
        <f t="shared" si="5"/>
        <v>2</v>
      </c>
      <c r="C60" s="203">
        <f t="shared" si="0"/>
        <v>0</v>
      </c>
      <c r="D60" s="201">
        <f t="shared" si="1"/>
        <v>0</v>
      </c>
      <c r="E60" s="201">
        <f t="shared" si="2"/>
        <v>0</v>
      </c>
      <c r="F60" s="201">
        <f t="shared" si="3"/>
        <v>0</v>
      </c>
      <c r="G60" s="201">
        <f>SUM(D$2:D60)</f>
        <v>0</v>
      </c>
      <c r="H60" s="201">
        <f>SUM(E$2:E60)</f>
        <v>0</v>
      </c>
      <c r="I60" s="201">
        <f>SUM(F$2:F60)</f>
        <v>0</v>
      </c>
      <c r="J60" s="201">
        <f>Model!F$51</f>
        <v>23678.322499999998</v>
      </c>
      <c r="K60" s="201">
        <f>Model!G$51</f>
        <v>26052.648000000005</v>
      </c>
      <c r="L60" s="201">
        <f>Model!H$51</f>
        <v>27478.056499999995</v>
      </c>
      <c r="M60" s="201">
        <f>Model!I$51</f>
        <v>28903.236999999997</v>
      </c>
      <c r="N60" s="201">
        <f>Model!J$51</f>
        <v>29853.18</v>
      </c>
      <c r="O60" s="201">
        <f>Model!K$51</f>
        <v>0</v>
      </c>
      <c r="P60" s="201">
        <f>Model!L$51</f>
        <v>0</v>
      </c>
      <c r="Q60" s="201">
        <f>Model!M$51</f>
        <v>0</v>
      </c>
      <c r="R60" s="201">
        <f>Model!N$51</f>
        <v>0</v>
      </c>
      <c r="S60" s="201">
        <f>Model!R$51</f>
        <v>25000</v>
      </c>
      <c r="T60" s="204" t="str">
        <f t="shared" si="6"/>
        <v/>
      </c>
      <c r="U60" s="204" t="str">
        <f t="shared" si="7"/>
        <v/>
      </c>
      <c r="V60" s="204" t="str">
        <f t="shared" si="8"/>
        <v/>
      </c>
      <c r="W60" s="204" t="str">
        <f t="shared" si="6"/>
        <v/>
      </c>
      <c r="X60" s="204" t="str">
        <f t="shared" si="6"/>
        <v/>
      </c>
      <c r="Y60" s="204" t="str">
        <f t="shared" si="9"/>
        <v/>
      </c>
      <c r="Z60" s="204" t="str">
        <f t="shared" si="9"/>
        <v/>
      </c>
      <c r="AA60" s="204" t="str">
        <f t="shared" si="9"/>
        <v/>
      </c>
      <c r="AB60" s="204" t="str">
        <f t="shared" si="9"/>
        <v/>
      </c>
      <c r="AC60" s="204" t="str">
        <f t="shared" si="10"/>
        <v/>
      </c>
    </row>
    <row r="61" spans="1:29" x14ac:dyDescent="0.3">
      <c r="A61" s="202">
        <v>41334</v>
      </c>
      <c r="B61" s="203">
        <f t="shared" si="5"/>
        <v>3</v>
      </c>
      <c r="C61" s="203">
        <f t="shared" si="0"/>
        <v>0</v>
      </c>
      <c r="D61" s="201">
        <f t="shared" si="1"/>
        <v>0</v>
      </c>
      <c r="E61" s="201">
        <f t="shared" si="2"/>
        <v>0</v>
      </c>
      <c r="F61" s="201">
        <f t="shared" si="3"/>
        <v>0</v>
      </c>
      <c r="G61" s="201">
        <f>SUM(D$2:D61)</f>
        <v>0</v>
      </c>
      <c r="H61" s="201">
        <f>SUM(E$2:E61)</f>
        <v>0</v>
      </c>
      <c r="I61" s="201">
        <f>SUM(F$2:F61)</f>
        <v>0</v>
      </c>
      <c r="J61" s="201">
        <f>Model!F$51</f>
        <v>23678.322499999998</v>
      </c>
      <c r="K61" s="201">
        <f>Model!G$51</f>
        <v>26052.648000000005</v>
      </c>
      <c r="L61" s="201">
        <f>Model!H$51</f>
        <v>27478.056499999995</v>
      </c>
      <c r="M61" s="201">
        <f>Model!I$51</f>
        <v>28903.236999999997</v>
      </c>
      <c r="N61" s="201">
        <f>Model!J$51</f>
        <v>29853.18</v>
      </c>
      <c r="O61" s="201">
        <f>Model!K$51</f>
        <v>0</v>
      </c>
      <c r="P61" s="201">
        <f>Model!L$51</f>
        <v>0</v>
      </c>
      <c r="Q61" s="201">
        <f>Model!M$51</f>
        <v>0</v>
      </c>
      <c r="R61" s="201">
        <f>Model!N$51</f>
        <v>0</v>
      </c>
      <c r="S61" s="201">
        <f>Model!R$51</f>
        <v>25000</v>
      </c>
      <c r="T61" s="204" t="str">
        <f t="shared" si="6"/>
        <v/>
      </c>
      <c r="U61" s="204" t="str">
        <f t="shared" si="7"/>
        <v/>
      </c>
      <c r="V61" s="204" t="str">
        <f t="shared" si="8"/>
        <v/>
      </c>
      <c r="W61" s="204" t="str">
        <f t="shared" si="6"/>
        <v/>
      </c>
      <c r="X61" s="204" t="str">
        <f t="shared" si="6"/>
        <v/>
      </c>
      <c r="Y61" s="204" t="str">
        <f t="shared" si="9"/>
        <v/>
      </c>
      <c r="Z61" s="204" t="str">
        <f t="shared" si="9"/>
        <v/>
      </c>
      <c r="AA61" s="204" t="str">
        <f t="shared" si="9"/>
        <v/>
      </c>
      <c r="AB61" s="204" t="str">
        <f t="shared" si="9"/>
        <v/>
      </c>
      <c r="AC61" s="204" t="str">
        <f t="shared" si="10"/>
        <v/>
      </c>
    </row>
    <row r="62" spans="1:29" x14ac:dyDescent="0.3">
      <c r="A62" s="202">
        <v>41335</v>
      </c>
      <c r="B62" s="203">
        <f t="shared" si="5"/>
        <v>3</v>
      </c>
      <c r="C62" s="203">
        <f t="shared" si="0"/>
        <v>0</v>
      </c>
      <c r="D62" s="201">
        <f t="shared" si="1"/>
        <v>0</v>
      </c>
      <c r="E62" s="201">
        <f t="shared" si="2"/>
        <v>0</v>
      </c>
      <c r="F62" s="201">
        <f t="shared" si="3"/>
        <v>0</v>
      </c>
      <c r="G62" s="201">
        <f>SUM(D$2:D62)</f>
        <v>0</v>
      </c>
      <c r="H62" s="201">
        <f>SUM(E$2:E62)</f>
        <v>0</v>
      </c>
      <c r="I62" s="201">
        <f>SUM(F$2:F62)</f>
        <v>0</v>
      </c>
      <c r="J62" s="201">
        <f>Model!F$51</f>
        <v>23678.322499999998</v>
      </c>
      <c r="K62" s="201">
        <f>Model!G$51</f>
        <v>26052.648000000005</v>
      </c>
      <c r="L62" s="201">
        <f>Model!H$51</f>
        <v>27478.056499999995</v>
      </c>
      <c r="M62" s="201">
        <f>Model!I$51</f>
        <v>28903.236999999997</v>
      </c>
      <c r="N62" s="201">
        <f>Model!J$51</f>
        <v>29853.18</v>
      </c>
      <c r="O62" s="201">
        <f>Model!K$51</f>
        <v>0</v>
      </c>
      <c r="P62" s="201">
        <f>Model!L$51</f>
        <v>0</v>
      </c>
      <c r="Q62" s="201">
        <f>Model!M$51</f>
        <v>0</v>
      </c>
      <c r="R62" s="201">
        <f>Model!N$51</f>
        <v>0</v>
      </c>
      <c r="S62" s="201">
        <f>Model!R$51</f>
        <v>25000</v>
      </c>
      <c r="T62" s="204" t="str">
        <f t="shared" si="6"/>
        <v/>
      </c>
      <c r="U62" s="204" t="str">
        <f t="shared" si="7"/>
        <v/>
      </c>
      <c r="V62" s="204" t="str">
        <f t="shared" si="8"/>
        <v/>
      </c>
      <c r="W62" s="204" t="str">
        <f t="shared" si="6"/>
        <v/>
      </c>
      <c r="X62" s="204" t="str">
        <f t="shared" ref="X62:AA125" si="11">IF(ISNUMBER(X61),"  ",IF(X61="  ","  ",IF($G62&gt;N62,$A62,"")))</f>
        <v/>
      </c>
      <c r="Y62" s="204" t="str">
        <f t="shared" si="9"/>
        <v/>
      </c>
      <c r="Z62" s="204" t="str">
        <f t="shared" si="9"/>
        <v/>
      </c>
      <c r="AA62" s="204" t="str">
        <f t="shared" si="9"/>
        <v/>
      </c>
      <c r="AB62" s="204" t="str">
        <f t="shared" si="9"/>
        <v/>
      </c>
      <c r="AC62" s="204" t="str">
        <f t="shared" si="10"/>
        <v/>
      </c>
    </row>
    <row r="63" spans="1:29" x14ac:dyDescent="0.3">
      <c r="A63" s="202">
        <v>41336</v>
      </c>
      <c r="B63" s="203">
        <f t="shared" si="5"/>
        <v>3</v>
      </c>
      <c r="C63" s="203">
        <f t="shared" si="0"/>
        <v>0</v>
      </c>
      <c r="D63" s="201">
        <f t="shared" si="1"/>
        <v>0</v>
      </c>
      <c r="E63" s="201">
        <f t="shared" si="2"/>
        <v>0</v>
      </c>
      <c r="F63" s="201">
        <f t="shared" si="3"/>
        <v>0</v>
      </c>
      <c r="G63" s="201">
        <f>SUM(D$2:D63)</f>
        <v>0</v>
      </c>
      <c r="H63" s="201">
        <f>SUM(E$2:E63)</f>
        <v>0</v>
      </c>
      <c r="I63" s="201">
        <f>SUM(F$2:F63)</f>
        <v>0</v>
      </c>
      <c r="J63" s="201">
        <f>Model!F$51</f>
        <v>23678.322499999998</v>
      </c>
      <c r="K63" s="201">
        <f>Model!G$51</f>
        <v>26052.648000000005</v>
      </c>
      <c r="L63" s="201">
        <f>Model!H$51</f>
        <v>27478.056499999995</v>
      </c>
      <c r="M63" s="201">
        <f>Model!I$51</f>
        <v>28903.236999999997</v>
      </c>
      <c r="N63" s="201">
        <f>Model!J$51</f>
        <v>29853.18</v>
      </c>
      <c r="O63" s="201">
        <f>Model!K$51</f>
        <v>0</v>
      </c>
      <c r="P63" s="201">
        <f>Model!L$51</f>
        <v>0</v>
      </c>
      <c r="Q63" s="201">
        <f>Model!M$51</f>
        <v>0</v>
      </c>
      <c r="R63" s="201">
        <f>Model!N$51</f>
        <v>0</v>
      </c>
      <c r="S63" s="201">
        <f>Model!R$51</f>
        <v>25000</v>
      </c>
      <c r="T63" s="204" t="str">
        <f t="shared" si="6"/>
        <v/>
      </c>
      <c r="U63" s="204" t="str">
        <f t="shared" si="7"/>
        <v/>
      </c>
      <c r="V63" s="204" t="str">
        <f t="shared" si="8"/>
        <v/>
      </c>
      <c r="W63" s="204" t="str">
        <f t="shared" si="6"/>
        <v/>
      </c>
      <c r="X63" s="204" t="str">
        <f t="shared" si="11"/>
        <v/>
      </c>
      <c r="Y63" s="204" t="str">
        <f t="shared" si="9"/>
        <v/>
      </c>
      <c r="Z63" s="204" t="str">
        <f t="shared" si="9"/>
        <v/>
      </c>
      <c r="AA63" s="204" t="str">
        <f t="shared" si="9"/>
        <v/>
      </c>
      <c r="AB63" s="204" t="str">
        <f t="shared" si="9"/>
        <v/>
      </c>
      <c r="AC63" s="204" t="str">
        <f t="shared" si="10"/>
        <v/>
      </c>
    </row>
    <row r="64" spans="1:29" x14ac:dyDescent="0.3">
      <c r="A64" s="202">
        <v>41337</v>
      </c>
      <c r="B64" s="203">
        <f t="shared" si="5"/>
        <v>3</v>
      </c>
      <c r="C64" s="203">
        <f t="shared" si="0"/>
        <v>0</v>
      </c>
      <c r="D64" s="201">
        <f t="shared" si="1"/>
        <v>0</v>
      </c>
      <c r="E64" s="201">
        <f t="shared" si="2"/>
        <v>0</v>
      </c>
      <c r="F64" s="201">
        <f t="shared" si="3"/>
        <v>0</v>
      </c>
      <c r="G64" s="201">
        <f>SUM(D$2:D64)</f>
        <v>0</v>
      </c>
      <c r="H64" s="201">
        <f>SUM(E$2:E64)</f>
        <v>0</v>
      </c>
      <c r="I64" s="201">
        <f>SUM(F$2:F64)</f>
        <v>0</v>
      </c>
      <c r="J64" s="201">
        <f>Model!F$51</f>
        <v>23678.322499999998</v>
      </c>
      <c r="K64" s="201">
        <f>Model!G$51</f>
        <v>26052.648000000005</v>
      </c>
      <c r="L64" s="201">
        <f>Model!H$51</f>
        <v>27478.056499999995</v>
      </c>
      <c r="M64" s="201">
        <f>Model!I$51</f>
        <v>28903.236999999997</v>
      </c>
      <c r="N64" s="201">
        <f>Model!J$51</f>
        <v>29853.18</v>
      </c>
      <c r="O64" s="201">
        <f>Model!K$51</f>
        <v>0</v>
      </c>
      <c r="P64" s="201">
        <f>Model!L$51</f>
        <v>0</v>
      </c>
      <c r="Q64" s="201">
        <f>Model!M$51</f>
        <v>0</v>
      </c>
      <c r="R64" s="201">
        <f>Model!N$51</f>
        <v>0</v>
      </c>
      <c r="S64" s="201">
        <f>Model!R$51</f>
        <v>25000</v>
      </c>
      <c r="T64" s="204" t="str">
        <f t="shared" si="6"/>
        <v/>
      </c>
      <c r="U64" s="204" t="str">
        <f t="shared" si="7"/>
        <v/>
      </c>
      <c r="V64" s="204" t="str">
        <f t="shared" si="8"/>
        <v/>
      </c>
      <c r="W64" s="204" t="str">
        <f t="shared" si="6"/>
        <v/>
      </c>
      <c r="X64" s="204" t="str">
        <f t="shared" si="11"/>
        <v/>
      </c>
      <c r="Y64" s="204" t="str">
        <f t="shared" si="9"/>
        <v/>
      </c>
      <c r="Z64" s="204" t="str">
        <f t="shared" si="9"/>
        <v/>
      </c>
      <c r="AA64" s="204" t="str">
        <f t="shared" si="9"/>
        <v/>
      </c>
      <c r="AB64" s="204" t="str">
        <f t="shared" si="9"/>
        <v/>
      </c>
      <c r="AC64" s="204" t="str">
        <f t="shared" si="10"/>
        <v/>
      </c>
    </row>
    <row r="65" spans="1:29" x14ac:dyDescent="0.3">
      <c r="A65" s="202">
        <v>41338</v>
      </c>
      <c r="B65" s="203">
        <f t="shared" si="5"/>
        <v>3</v>
      </c>
      <c r="C65" s="203">
        <f t="shared" si="0"/>
        <v>0</v>
      </c>
      <c r="D65" s="201">
        <f t="shared" si="1"/>
        <v>0</v>
      </c>
      <c r="E65" s="201">
        <f t="shared" si="2"/>
        <v>0</v>
      </c>
      <c r="F65" s="201">
        <f t="shared" si="3"/>
        <v>0</v>
      </c>
      <c r="G65" s="201">
        <f>SUM(D$2:D65)</f>
        <v>0</v>
      </c>
      <c r="H65" s="201">
        <f>SUM(E$2:E65)</f>
        <v>0</v>
      </c>
      <c r="I65" s="201">
        <f>SUM(F$2:F65)</f>
        <v>0</v>
      </c>
      <c r="J65" s="201">
        <f>Model!F$51</f>
        <v>23678.322499999998</v>
      </c>
      <c r="K65" s="201">
        <f>Model!G$51</f>
        <v>26052.648000000005</v>
      </c>
      <c r="L65" s="201">
        <f>Model!H$51</f>
        <v>27478.056499999995</v>
      </c>
      <c r="M65" s="201">
        <f>Model!I$51</f>
        <v>28903.236999999997</v>
      </c>
      <c r="N65" s="201">
        <f>Model!J$51</f>
        <v>29853.18</v>
      </c>
      <c r="O65" s="201">
        <f>Model!K$51</f>
        <v>0</v>
      </c>
      <c r="P65" s="201">
        <f>Model!L$51</f>
        <v>0</v>
      </c>
      <c r="Q65" s="201">
        <f>Model!M$51</f>
        <v>0</v>
      </c>
      <c r="R65" s="201">
        <f>Model!N$51</f>
        <v>0</v>
      </c>
      <c r="S65" s="201">
        <f>Model!R$51</f>
        <v>25000</v>
      </c>
      <c r="T65" s="204" t="str">
        <f t="shared" si="6"/>
        <v/>
      </c>
      <c r="U65" s="204" t="str">
        <f t="shared" si="7"/>
        <v/>
      </c>
      <c r="V65" s="204" t="str">
        <f t="shared" si="8"/>
        <v/>
      </c>
      <c r="W65" s="204" t="str">
        <f t="shared" si="6"/>
        <v/>
      </c>
      <c r="X65" s="204" t="str">
        <f t="shared" si="11"/>
        <v/>
      </c>
      <c r="Y65" s="204" t="str">
        <f t="shared" si="9"/>
        <v/>
      </c>
      <c r="Z65" s="204" t="str">
        <f t="shared" si="9"/>
        <v/>
      </c>
      <c r="AA65" s="204" t="str">
        <f t="shared" si="9"/>
        <v/>
      </c>
      <c r="AB65" s="204" t="str">
        <f t="shared" si="9"/>
        <v/>
      </c>
      <c r="AC65" s="204" t="str">
        <f t="shared" si="10"/>
        <v/>
      </c>
    </row>
    <row r="66" spans="1:29" x14ac:dyDescent="0.3">
      <c r="A66" s="202">
        <v>41339</v>
      </c>
      <c r="B66" s="203">
        <f t="shared" ref="B66:B129" si="12">MONTH(A66)</f>
        <v>3</v>
      </c>
      <c r="C66" s="203">
        <f t="shared" ref="C66:C129" si="13">IF(VLOOKUP($B66,$AE$2:$AF$15,2,FALSE)=0,1,IF(VLOOKUP($B66,$AE$2:$AF$15,2,FALSE)=VLOOKUP($B66,$AE$2:$AG$15,3,FALSE),0,IF(AND((VLOOKUP(($B66-1),$AE$2:$AF$15,2,FALSE)&gt;=1),VLOOKUP($B66,$AE$2:$AF$15,2,FALSE)&gt;=DAY(A66)),0,IF(AND((VLOOKUP(($B66+1),$AE$2:$AF$15,2,FALSE)&gt;=1),DAY(A66)&gt;(VLOOKUP($B66,$AE$2:$AG$15,3,FALSE)-VLOOKUP($B66,$AE$2:$AF$15,2,FALSE))),0,1))))</f>
        <v>0</v>
      </c>
      <c r="D66" s="201">
        <f t="shared" ref="D66:D129" si="14">IF(C66=0,0,VLOOKUP(B66,$AE$3:$AH$14,4,FALSE))</f>
        <v>0</v>
      </c>
      <c r="E66" s="201">
        <f t="shared" ref="E66:E129" si="15">IF(C66=0,0,VLOOKUP(B66,$AE$3:$AJ$14,5,FALSE))</f>
        <v>0</v>
      </c>
      <c r="F66" s="201">
        <f t="shared" ref="F66:F129" si="16">IF(C66=0,0,VLOOKUP(B66,$AE$3:$AJ$14,6,FALSE))</f>
        <v>0</v>
      </c>
      <c r="G66" s="201">
        <f>SUM(D$2:D66)</f>
        <v>0</v>
      </c>
      <c r="H66" s="201">
        <f>SUM(E$2:E66)</f>
        <v>0</v>
      </c>
      <c r="I66" s="201">
        <f>SUM(F$2:F66)</f>
        <v>0</v>
      </c>
      <c r="J66" s="201">
        <f>Model!F$51</f>
        <v>23678.322499999998</v>
      </c>
      <c r="K66" s="201">
        <f>Model!G$51</f>
        <v>26052.648000000005</v>
      </c>
      <c r="L66" s="201">
        <f>Model!H$51</f>
        <v>27478.056499999995</v>
      </c>
      <c r="M66" s="201">
        <f>Model!I$51</f>
        <v>28903.236999999997</v>
      </c>
      <c r="N66" s="201">
        <f>Model!J$51</f>
        <v>29853.18</v>
      </c>
      <c r="O66" s="201">
        <f>Model!K$51</f>
        <v>0</v>
      </c>
      <c r="P66" s="201">
        <f>Model!L$51</f>
        <v>0</v>
      </c>
      <c r="Q66" s="201">
        <f>Model!M$51</f>
        <v>0</v>
      </c>
      <c r="R66" s="201">
        <f>Model!N$51</f>
        <v>0</v>
      </c>
      <c r="S66" s="201">
        <f>Model!R$51</f>
        <v>25000</v>
      </c>
      <c r="T66" s="204" t="str">
        <f t="shared" si="6"/>
        <v/>
      </c>
      <c r="U66" s="204" t="str">
        <f t="shared" si="7"/>
        <v/>
      </c>
      <c r="V66" s="204" t="str">
        <f t="shared" si="8"/>
        <v/>
      </c>
      <c r="W66" s="204" t="str">
        <f t="shared" si="6"/>
        <v/>
      </c>
      <c r="X66" s="204" t="str">
        <f t="shared" si="11"/>
        <v/>
      </c>
      <c r="Y66" s="204" t="str">
        <f t="shared" si="9"/>
        <v/>
      </c>
      <c r="Z66" s="204" t="str">
        <f t="shared" si="9"/>
        <v/>
      </c>
      <c r="AA66" s="204" t="str">
        <f t="shared" si="9"/>
        <v/>
      </c>
      <c r="AB66" s="204" t="str">
        <f t="shared" si="9"/>
        <v/>
      </c>
      <c r="AC66" s="204" t="str">
        <f t="shared" si="10"/>
        <v/>
      </c>
    </row>
    <row r="67" spans="1:29" x14ac:dyDescent="0.3">
      <c r="A67" s="202">
        <v>41340</v>
      </c>
      <c r="B67" s="203">
        <f t="shared" si="12"/>
        <v>3</v>
      </c>
      <c r="C67" s="203">
        <f t="shared" si="13"/>
        <v>0</v>
      </c>
      <c r="D67" s="201">
        <f t="shared" si="14"/>
        <v>0</v>
      </c>
      <c r="E67" s="201">
        <f t="shared" si="15"/>
        <v>0</v>
      </c>
      <c r="F67" s="201">
        <f t="shared" si="16"/>
        <v>0</v>
      </c>
      <c r="G67" s="201">
        <f>SUM(D$2:D67)</f>
        <v>0</v>
      </c>
      <c r="H67" s="201">
        <f>SUM(E$2:E67)</f>
        <v>0</v>
      </c>
      <c r="I67" s="201">
        <f>SUM(F$2:F67)</f>
        <v>0</v>
      </c>
      <c r="J67" s="201">
        <f>Model!F$51</f>
        <v>23678.322499999998</v>
      </c>
      <c r="K67" s="201">
        <f>Model!G$51</f>
        <v>26052.648000000005</v>
      </c>
      <c r="L67" s="201">
        <f>Model!H$51</f>
        <v>27478.056499999995</v>
      </c>
      <c r="M67" s="201">
        <f>Model!I$51</f>
        <v>28903.236999999997</v>
      </c>
      <c r="N67" s="201">
        <f>Model!J$51</f>
        <v>29853.18</v>
      </c>
      <c r="O67" s="201">
        <f>Model!K$51</f>
        <v>0</v>
      </c>
      <c r="P67" s="201">
        <f>Model!L$51</f>
        <v>0</v>
      </c>
      <c r="Q67" s="201">
        <f>Model!M$51</f>
        <v>0</v>
      </c>
      <c r="R67" s="201">
        <f>Model!N$51</f>
        <v>0</v>
      </c>
      <c r="S67" s="201">
        <f>Model!R$51</f>
        <v>25000</v>
      </c>
      <c r="T67" s="204" t="str">
        <f t="shared" ref="T67:W130" si="17">IF(ISNUMBER(T66),"  ",IF(T66="  ","  ",IF($G67&gt;J67,$A67,"")))</f>
        <v/>
      </c>
      <c r="U67" s="204" t="str">
        <f t="shared" ref="U67:U130" si="18">IF(ISNUMBER(U66),"  ",IF(U66="  ","  ",IF($G67&gt;L67,$A67,"")))</f>
        <v/>
      </c>
      <c r="V67" s="204" t="str">
        <f t="shared" ref="V67:V130" si="19">IF(ISNUMBER(V66),"  ",IF(V66="  ","  ",IF($G67&gt;N67,$A67,"")))</f>
        <v/>
      </c>
      <c r="W67" s="204" t="str">
        <f t="shared" si="17"/>
        <v/>
      </c>
      <c r="X67" s="204" t="str">
        <f t="shared" si="11"/>
        <v/>
      </c>
      <c r="Y67" s="204" t="str">
        <f t="shared" si="9"/>
        <v/>
      </c>
      <c r="Z67" s="204" t="str">
        <f t="shared" si="9"/>
        <v/>
      </c>
      <c r="AA67" s="204" t="str">
        <f t="shared" si="9"/>
        <v/>
      </c>
      <c r="AB67" s="204" t="str">
        <f t="shared" si="9"/>
        <v/>
      </c>
      <c r="AC67" s="204" t="str">
        <f t="shared" si="10"/>
        <v/>
      </c>
    </row>
    <row r="68" spans="1:29" x14ac:dyDescent="0.3">
      <c r="A68" s="202">
        <v>41341</v>
      </c>
      <c r="B68" s="203">
        <f t="shared" si="12"/>
        <v>3</v>
      </c>
      <c r="C68" s="203">
        <f t="shared" si="13"/>
        <v>0</v>
      </c>
      <c r="D68" s="201">
        <f t="shared" si="14"/>
        <v>0</v>
      </c>
      <c r="E68" s="201">
        <f t="shared" si="15"/>
        <v>0</v>
      </c>
      <c r="F68" s="201">
        <f t="shared" si="16"/>
        <v>0</v>
      </c>
      <c r="G68" s="201">
        <f>SUM(D$2:D68)</f>
        <v>0</v>
      </c>
      <c r="H68" s="201">
        <f>SUM(E$2:E68)</f>
        <v>0</v>
      </c>
      <c r="I68" s="201">
        <f>SUM(F$2:F68)</f>
        <v>0</v>
      </c>
      <c r="J68" s="201">
        <f>Model!F$51</f>
        <v>23678.322499999998</v>
      </c>
      <c r="K68" s="201">
        <f>Model!G$51</f>
        <v>26052.648000000005</v>
      </c>
      <c r="L68" s="201">
        <f>Model!H$51</f>
        <v>27478.056499999995</v>
      </c>
      <c r="M68" s="201">
        <f>Model!I$51</f>
        <v>28903.236999999997</v>
      </c>
      <c r="N68" s="201">
        <f>Model!J$51</f>
        <v>29853.18</v>
      </c>
      <c r="O68" s="201">
        <f>Model!K$51</f>
        <v>0</v>
      </c>
      <c r="P68" s="201">
        <f>Model!L$51</f>
        <v>0</v>
      </c>
      <c r="Q68" s="201">
        <f>Model!M$51</f>
        <v>0</v>
      </c>
      <c r="R68" s="201">
        <f>Model!N$51</f>
        <v>0</v>
      </c>
      <c r="S68" s="201">
        <f>Model!R$51</f>
        <v>25000</v>
      </c>
      <c r="T68" s="204" t="str">
        <f t="shared" si="17"/>
        <v/>
      </c>
      <c r="U68" s="204" t="str">
        <f t="shared" si="18"/>
        <v/>
      </c>
      <c r="V68" s="204" t="str">
        <f t="shared" si="19"/>
        <v/>
      </c>
      <c r="W68" s="204" t="str">
        <f t="shared" si="17"/>
        <v/>
      </c>
      <c r="X68" s="204" t="str">
        <f t="shared" si="11"/>
        <v/>
      </c>
      <c r="Y68" s="204" t="str">
        <f t="shared" si="9"/>
        <v/>
      </c>
      <c r="Z68" s="204" t="str">
        <f t="shared" si="9"/>
        <v/>
      </c>
      <c r="AA68" s="204" t="str">
        <f t="shared" si="9"/>
        <v/>
      </c>
      <c r="AB68" s="204" t="str">
        <f t="shared" si="9"/>
        <v/>
      </c>
      <c r="AC68" s="204" t="str">
        <f t="shared" si="10"/>
        <v/>
      </c>
    </row>
    <row r="69" spans="1:29" x14ac:dyDescent="0.3">
      <c r="A69" s="202">
        <v>41342</v>
      </c>
      <c r="B69" s="203">
        <f t="shared" si="12"/>
        <v>3</v>
      </c>
      <c r="C69" s="203">
        <f t="shared" si="13"/>
        <v>0</v>
      </c>
      <c r="D69" s="201">
        <f t="shared" si="14"/>
        <v>0</v>
      </c>
      <c r="E69" s="201">
        <f t="shared" si="15"/>
        <v>0</v>
      </c>
      <c r="F69" s="201">
        <f t="shared" si="16"/>
        <v>0</v>
      </c>
      <c r="G69" s="201">
        <f>SUM(D$2:D69)</f>
        <v>0</v>
      </c>
      <c r="H69" s="201">
        <f>SUM(E$2:E69)</f>
        <v>0</v>
      </c>
      <c r="I69" s="201">
        <f>SUM(F$2:F69)</f>
        <v>0</v>
      </c>
      <c r="J69" s="201">
        <f>Model!F$51</f>
        <v>23678.322499999998</v>
      </c>
      <c r="K69" s="201">
        <f>Model!G$51</f>
        <v>26052.648000000005</v>
      </c>
      <c r="L69" s="201">
        <f>Model!H$51</f>
        <v>27478.056499999995</v>
      </c>
      <c r="M69" s="201">
        <f>Model!I$51</f>
        <v>28903.236999999997</v>
      </c>
      <c r="N69" s="201">
        <f>Model!J$51</f>
        <v>29853.18</v>
      </c>
      <c r="O69" s="201">
        <f>Model!K$51</f>
        <v>0</v>
      </c>
      <c r="P69" s="201">
        <f>Model!L$51</f>
        <v>0</v>
      </c>
      <c r="Q69" s="201">
        <f>Model!M$51</f>
        <v>0</v>
      </c>
      <c r="R69" s="201">
        <f>Model!N$51</f>
        <v>0</v>
      </c>
      <c r="S69" s="201">
        <f>Model!R$51</f>
        <v>25000</v>
      </c>
      <c r="T69" s="204" t="str">
        <f t="shared" si="17"/>
        <v/>
      </c>
      <c r="U69" s="204" t="str">
        <f t="shared" si="18"/>
        <v/>
      </c>
      <c r="V69" s="204" t="str">
        <f t="shared" si="19"/>
        <v/>
      </c>
      <c r="W69" s="204" t="str">
        <f t="shared" si="17"/>
        <v/>
      </c>
      <c r="X69" s="204" t="str">
        <f t="shared" si="11"/>
        <v/>
      </c>
      <c r="Y69" s="204" t="str">
        <f t="shared" si="9"/>
        <v/>
      </c>
      <c r="Z69" s="204" t="str">
        <f t="shared" si="9"/>
        <v/>
      </c>
      <c r="AA69" s="204" t="str">
        <f t="shared" si="9"/>
        <v/>
      </c>
      <c r="AB69" s="204" t="str">
        <f t="shared" si="9"/>
        <v/>
      </c>
      <c r="AC69" s="204" t="str">
        <f t="shared" si="10"/>
        <v/>
      </c>
    </row>
    <row r="70" spans="1:29" x14ac:dyDescent="0.3">
      <c r="A70" s="202">
        <v>41343</v>
      </c>
      <c r="B70" s="203">
        <f t="shared" si="12"/>
        <v>3</v>
      </c>
      <c r="C70" s="203">
        <f t="shared" si="13"/>
        <v>0</v>
      </c>
      <c r="D70" s="201">
        <f t="shared" si="14"/>
        <v>0</v>
      </c>
      <c r="E70" s="201">
        <f t="shared" si="15"/>
        <v>0</v>
      </c>
      <c r="F70" s="201">
        <f t="shared" si="16"/>
        <v>0</v>
      </c>
      <c r="G70" s="201">
        <f>SUM(D$2:D70)</f>
        <v>0</v>
      </c>
      <c r="H70" s="201">
        <f>SUM(E$2:E70)</f>
        <v>0</v>
      </c>
      <c r="I70" s="201">
        <f>SUM(F$2:F70)</f>
        <v>0</v>
      </c>
      <c r="J70" s="201">
        <f>Model!F$51</f>
        <v>23678.322499999998</v>
      </c>
      <c r="K70" s="201">
        <f>Model!G$51</f>
        <v>26052.648000000005</v>
      </c>
      <c r="L70" s="201">
        <f>Model!H$51</f>
        <v>27478.056499999995</v>
      </c>
      <c r="M70" s="201">
        <f>Model!I$51</f>
        <v>28903.236999999997</v>
      </c>
      <c r="N70" s="201">
        <f>Model!J$51</f>
        <v>29853.18</v>
      </c>
      <c r="O70" s="201">
        <f>Model!K$51</f>
        <v>0</v>
      </c>
      <c r="P70" s="201">
        <f>Model!L$51</f>
        <v>0</v>
      </c>
      <c r="Q70" s="201">
        <f>Model!M$51</f>
        <v>0</v>
      </c>
      <c r="R70" s="201">
        <f>Model!N$51</f>
        <v>0</v>
      </c>
      <c r="S70" s="201">
        <f>Model!R$51</f>
        <v>25000</v>
      </c>
      <c r="T70" s="204" t="str">
        <f t="shared" si="17"/>
        <v/>
      </c>
      <c r="U70" s="204" t="str">
        <f t="shared" si="18"/>
        <v/>
      </c>
      <c r="V70" s="204" t="str">
        <f t="shared" si="19"/>
        <v/>
      </c>
      <c r="W70" s="204" t="str">
        <f t="shared" si="17"/>
        <v/>
      </c>
      <c r="X70" s="204" t="str">
        <f t="shared" si="11"/>
        <v/>
      </c>
      <c r="Y70" s="204" t="str">
        <f t="shared" si="9"/>
        <v/>
      </c>
      <c r="Z70" s="204" t="str">
        <f t="shared" si="9"/>
        <v/>
      </c>
      <c r="AA70" s="204" t="str">
        <f t="shared" si="9"/>
        <v/>
      </c>
      <c r="AB70" s="204" t="str">
        <f t="shared" si="9"/>
        <v/>
      </c>
      <c r="AC70" s="204" t="str">
        <f t="shared" si="10"/>
        <v/>
      </c>
    </row>
    <row r="71" spans="1:29" x14ac:dyDescent="0.3">
      <c r="A71" s="202">
        <v>41344</v>
      </c>
      <c r="B71" s="203">
        <f t="shared" si="12"/>
        <v>3</v>
      </c>
      <c r="C71" s="203">
        <f t="shared" si="13"/>
        <v>0</v>
      </c>
      <c r="D71" s="201">
        <f t="shared" si="14"/>
        <v>0</v>
      </c>
      <c r="E71" s="201">
        <f t="shared" si="15"/>
        <v>0</v>
      </c>
      <c r="F71" s="201">
        <f t="shared" si="16"/>
        <v>0</v>
      </c>
      <c r="G71" s="201">
        <f>SUM(D$2:D71)</f>
        <v>0</v>
      </c>
      <c r="H71" s="201">
        <f>SUM(E$2:E71)</f>
        <v>0</v>
      </c>
      <c r="I71" s="201">
        <f>SUM(F$2:F71)</f>
        <v>0</v>
      </c>
      <c r="J71" s="201">
        <f>Model!F$51</f>
        <v>23678.322499999998</v>
      </c>
      <c r="K71" s="201">
        <f>Model!G$51</f>
        <v>26052.648000000005</v>
      </c>
      <c r="L71" s="201">
        <f>Model!H$51</f>
        <v>27478.056499999995</v>
      </c>
      <c r="M71" s="201">
        <f>Model!I$51</f>
        <v>28903.236999999997</v>
      </c>
      <c r="N71" s="201">
        <f>Model!J$51</f>
        <v>29853.18</v>
      </c>
      <c r="O71" s="201">
        <f>Model!K$51</f>
        <v>0</v>
      </c>
      <c r="P71" s="201">
        <f>Model!L$51</f>
        <v>0</v>
      </c>
      <c r="Q71" s="201">
        <f>Model!M$51</f>
        <v>0</v>
      </c>
      <c r="R71" s="201">
        <f>Model!N$51</f>
        <v>0</v>
      </c>
      <c r="S71" s="201">
        <f>Model!R$51</f>
        <v>25000</v>
      </c>
      <c r="T71" s="204" t="str">
        <f t="shared" si="17"/>
        <v/>
      </c>
      <c r="U71" s="204" t="str">
        <f t="shared" si="18"/>
        <v/>
      </c>
      <c r="V71" s="204" t="str">
        <f t="shared" si="19"/>
        <v/>
      </c>
      <c r="W71" s="204" t="str">
        <f t="shared" si="17"/>
        <v/>
      </c>
      <c r="X71" s="204" t="str">
        <f t="shared" si="11"/>
        <v/>
      </c>
      <c r="Y71" s="204" t="str">
        <f t="shared" si="9"/>
        <v/>
      </c>
      <c r="Z71" s="204" t="str">
        <f t="shared" si="9"/>
        <v/>
      </c>
      <c r="AA71" s="204" t="str">
        <f t="shared" si="9"/>
        <v/>
      </c>
      <c r="AB71" s="204" t="str">
        <f t="shared" si="9"/>
        <v/>
      </c>
      <c r="AC71" s="204" t="str">
        <f t="shared" si="10"/>
        <v/>
      </c>
    </row>
    <row r="72" spans="1:29" x14ac:dyDescent="0.3">
      <c r="A72" s="202">
        <v>41345</v>
      </c>
      <c r="B72" s="203">
        <f t="shared" si="12"/>
        <v>3</v>
      </c>
      <c r="C72" s="203">
        <f t="shared" si="13"/>
        <v>0</v>
      </c>
      <c r="D72" s="201">
        <f t="shared" si="14"/>
        <v>0</v>
      </c>
      <c r="E72" s="201">
        <f t="shared" si="15"/>
        <v>0</v>
      </c>
      <c r="F72" s="201">
        <f t="shared" si="16"/>
        <v>0</v>
      </c>
      <c r="G72" s="201">
        <f>SUM(D$2:D72)</f>
        <v>0</v>
      </c>
      <c r="H72" s="201">
        <f>SUM(E$2:E72)</f>
        <v>0</v>
      </c>
      <c r="I72" s="201">
        <f>SUM(F$2:F72)</f>
        <v>0</v>
      </c>
      <c r="J72" s="201">
        <f>Model!F$51</f>
        <v>23678.322499999998</v>
      </c>
      <c r="K72" s="201">
        <f>Model!G$51</f>
        <v>26052.648000000005</v>
      </c>
      <c r="L72" s="201">
        <f>Model!H$51</f>
        <v>27478.056499999995</v>
      </c>
      <c r="M72" s="201">
        <f>Model!I$51</f>
        <v>28903.236999999997</v>
      </c>
      <c r="N72" s="201">
        <f>Model!J$51</f>
        <v>29853.18</v>
      </c>
      <c r="O72" s="201">
        <f>Model!K$51</f>
        <v>0</v>
      </c>
      <c r="P72" s="201">
        <f>Model!L$51</f>
        <v>0</v>
      </c>
      <c r="Q72" s="201">
        <f>Model!M$51</f>
        <v>0</v>
      </c>
      <c r="R72" s="201">
        <f>Model!N$51</f>
        <v>0</v>
      </c>
      <c r="S72" s="201">
        <f>Model!R$51</f>
        <v>25000</v>
      </c>
      <c r="T72" s="204" t="str">
        <f t="shared" si="17"/>
        <v/>
      </c>
      <c r="U72" s="204" t="str">
        <f t="shared" si="18"/>
        <v/>
      </c>
      <c r="V72" s="204" t="str">
        <f t="shared" si="19"/>
        <v/>
      </c>
      <c r="W72" s="204" t="str">
        <f t="shared" si="17"/>
        <v/>
      </c>
      <c r="X72" s="204" t="str">
        <f t="shared" si="11"/>
        <v/>
      </c>
      <c r="Y72" s="204" t="str">
        <f t="shared" si="9"/>
        <v/>
      </c>
      <c r="Z72" s="204" t="str">
        <f t="shared" si="9"/>
        <v/>
      </c>
      <c r="AA72" s="204" t="str">
        <f t="shared" si="9"/>
        <v/>
      </c>
      <c r="AB72" s="204" t="str">
        <f t="shared" si="9"/>
        <v/>
      </c>
      <c r="AC72" s="204" t="str">
        <f t="shared" si="10"/>
        <v/>
      </c>
    </row>
    <row r="73" spans="1:29" x14ac:dyDescent="0.3">
      <c r="A73" s="202">
        <v>41346</v>
      </c>
      <c r="B73" s="203">
        <f t="shared" si="12"/>
        <v>3</v>
      </c>
      <c r="C73" s="203">
        <f t="shared" si="13"/>
        <v>0</v>
      </c>
      <c r="D73" s="201">
        <f t="shared" si="14"/>
        <v>0</v>
      </c>
      <c r="E73" s="201">
        <f t="shared" si="15"/>
        <v>0</v>
      </c>
      <c r="F73" s="201">
        <f t="shared" si="16"/>
        <v>0</v>
      </c>
      <c r="G73" s="201">
        <f>SUM(D$2:D73)</f>
        <v>0</v>
      </c>
      <c r="H73" s="201">
        <f>SUM(E$2:E73)</f>
        <v>0</v>
      </c>
      <c r="I73" s="201">
        <f>SUM(F$2:F73)</f>
        <v>0</v>
      </c>
      <c r="J73" s="201">
        <f>Model!F$51</f>
        <v>23678.322499999998</v>
      </c>
      <c r="K73" s="201">
        <f>Model!G$51</f>
        <v>26052.648000000005</v>
      </c>
      <c r="L73" s="201">
        <f>Model!H$51</f>
        <v>27478.056499999995</v>
      </c>
      <c r="M73" s="201">
        <f>Model!I$51</f>
        <v>28903.236999999997</v>
      </c>
      <c r="N73" s="201">
        <f>Model!J$51</f>
        <v>29853.18</v>
      </c>
      <c r="O73" s="201">
        <f>Model!K$51</f>
        <v>0</v>
      </c>
      <c r="P73" s="201">
        <f>Model!L$51</f>
        <v>0</v>
      </c>
      <c r="Q73" s="201">
        <f>Model!M$51</f>
        <v>0</v>
      </c>
      <c r="R73" s="201">
        <f>Model!N$51</f>
        <v>0</v>
      </c>
      <c r="S73" s="201">
        <f>Model!R$51</f>
        <v>25000</v>
      </c>
      <c r="T73" s="204" t="str">
        <f t="shared" si="17"/>
        <v/>
      </c>
      <c r="U73" s="204" t="str">
        <f t="shared" si="18"/>
        <v/>
      </c>
      <c r="V73" s="204" t="str">
        <f t="shared" si="19"/>
        <v/>
      </c>
      <c r="W73" s="204" t="str">
        <f t="shared" si="17"/>
        <v/>
      </c>
      <c r="X73" s="204" t="str">
        <f t="shared" si="11"/>
        <v/>
      </c>
      <c r="Y73" s="204" t="str">
        <f t="shared" si="9"/>
        <v/>
      </c>
      <c r="Z73" s="204" t="str">
        <f t="shared" si="9"/>
        <v/>
      </c>
      <c r="AA73" s="204" t="str">
        <f t="shared" si="9"/>
        <v/>
      </c>
      <c r="AB73" s="204" t="str">
        <f t="shared" si="9"/>
        <v/>
      </c>
      <c r="AC73" s="204" t="str">
        <f t="shared" si="10"/>
        <v/>
      </c>
    </row>
    <row r="74" spans="1:29" x14ac:dyDescent="0.3">
      <c r="A74" s="202">
        <v>41347</v>
      </c>
      <c r="B74" s="203">
        <f t="shared" si="12"/>
        <v>3</v>
      </c>
      <c r="C74" s="203">
        <f t="shared" si="13"/>
        <v>0</v>
      </c>
      <c r="D74" s="201">
        <f t="shared" si="14"/>
        <v>0</v>
      </c>
      <c r="E74" s="201">
        <f t="shared" si="15"/>
        <v>0</v>
      </c>
      <c r="F74" s="201">
        <f t="shared" si="16"/>
        <v>0</v>
      </c>
      <c r="G74" s="201">
        <f>SUM(D$2:D74)</f>
        <v>0</v>
      </c>
      <c r="H74" s="201">
        <f>SUM(E$2:E74)</f>
        <v>0</v>
      </c>
      <c r="I74" s="201">
        <f>SUM(F$2:F74)</f>
        <v>0</v>
      </c>
      <c r="J74" s="201">
        <f>Model!F$51</f>
        <v>23678.322499999998</v>
      </c>
      <c r="K74" s="201">
        <f>Model!G$51</f>
        <v>26052.648000000005</v>
      </c>
      <c r="L74" s="201">
        <f>Model!H$51</f>
        <v>27478.056499999995</v>
      </c>
      <c r="M74" s="201">
        <f>Model!I$51</f>
        <v>28903.236999999997</v>
      </c>
      <c r="N74" s="201">
        <f>Model!J$51</f>
        <v>29853.18</v>
      </c>
      <c r="O74" s="201">
        <f>Model!K$51</f>
        <v>0</v>
      </c>
      <c r="P74" s="201">
        <f>Model!L$51</f>
        <v>0</v>
      </c>
      <c r="Q74" s="201">
        <f>Model!M$51</f>
        <v>0</v>
      </c>
      <c r="R74" s="201">
        <f>Model!N$51</f>
        <v>0</v>
      </c>
      <c r="S74" s="201">
        <f>Model!R$51</f>
        <v>25000</v>
      </c>
      <c r="T74" s="204" t="str">
        <f t="shared" si="17"/>
        <v/>
      </c>
      <c r="U74" s="204" t="str">
        <f t="shared" si="18"/>
        <v/>
      </c>
      <c r="V74" s="204" t="str">
        <f t="shared" si="19"/>
        <v/>
      </c>
      <c r="W74" s="204" t="str">
        <f t="shared" si="17"/>
        <v/>
      </c>
      <c r="X74" s="204" t="str">
        <f t="shared" si="11"/>
        <v/>
      </c>
      <c r="Y74" s="204" t="str">
        <f t="shared" si="9"/>
        <v/>
      </c>
      <c r="Z74" s="204" t="str">
        <f t="shared" si="9"/>
        <v/>
      </c>
      <c r="AA74" s="204" t="str">
        <f t="shared" si="9"/>
        <v/>
      </c>
      <c r="AB74" s="204" t="str">
        <f t="shared" si="9"/>
        <v/>
      </c>
      <c r="AC74" s="204" t="str">
        <f t="shared" si="10"/>
        <v/>
      </c>
    </row>
    <row r="75" spans="1:29" x14ac:dyDescent="0.3">
      <c r="A75" s="202">
        <v>41348</v>
      </c>
      <c r="B75" s="203">
        <f t="shared" si="12"/>
        <v>3</v>
      </c>
      <c r="C75" s="203">
        <f t="shared" si="13"/>
        <v>0</v>
      </c>
      <c r="D75" s="201">
        <f t="shared" si="14"/>
        <v>0</v>
      </c>
      <c r="E75" s="201">
        <f t="shared" si="15"/>
        <v>0</v>
      </c>
      <c r="F75" s="201">
        <f t="shared" si="16"/>
        <v>0</v>
      </c>
      <c r="G75" s="201">
        <f>SUM(D$2:D75)</f>
        <v>0</v>
      </c>
      <c r="H75" s="201">
        <f>SUM(E$2:E75)</f>
        <v>0</v>
      </c>
      <c r="I75" s="201">
        <f>SUM(F$2:F75)</f>
        <v>0</v>
      </c>
      <c r="J75" s="201">
        <f>Model!F$51</f>
        <v>23678.322499999998</v>
      </c>
      <c r="K75" s="201">
        <f>Model!G$51</f>
        <v>26052.648000000005</v>
      </c>
      <c r="L75" s="201">
        <f>Model!H$51</f>
        <v>27478.056499999995</v>
      </c>
      <c r="M75" s="201">
        <f>Model!I$51</f>
        <v>28903.236999999997</v>
      </c>
      <c r="N75" s="201">
        <f>Model!J$51</f>
        <v>29853.18</v>
      </c>
      <c r="O75" s="201">
        <f>Model!K$51</f>
        <v>0</v>
      </c>
      <c r="P75" s="201">
        <f>Model!L$51</f>
        <v>0</v>
      </c>
      <c r="Q75" s="201">
        <f>Model!M$51</f>
        <v>0</v>
      </c>
      <c r="R75" s="201">
        <f>Model!N$51</f>
        <v>0</v>
      </c>
      <c r="S75" s="201">
        <f>Model!R$51</f>
        <v>25000</v>
      </c>
      <c r="T75" s="204" t="str">
        <f t="shared" si="17"/>
        <v/>
      </c>
      <c r="U75" s="204" t="str">
        <f t="shared" si="18"/>
        <v/>
      </c>
      <c r="V75" s="204" t="str">
        <f t="shared" si="19"/>
        <v/>
      </c>
      <c r="W75" s="204" t="str">
        <f t="shared" si="17"/>
        <v/>
      </c>
      <c r="X75" s="204" t="str">
        <f t="shared" si="11"/>
        <v/>
      </c>
      <c r="Y75" s="204" t="str">
        <f t="shared" si="9"/>
        <v/>
      </c>
      <c r="Z75" s="204" t="str">
        <f t="shared" si="9"/>
        <v/>
      </c>
      <c r="AA75" s="204" t="str">
        <f t="shared" si="9"/>
        <v/>
      </c>
      <c r="AB75" s="204" t="str">
        <f t="shared" si="9"/>
        <v/>
      </c>
      <c r="AC75" s="204" t="str">
        <f t="shared" si="10"/>
        <v/>
      </c>
    </row>
    <row r="76" spans="1:29" x14ac:dyDescent="0.3">
      <c r="A76" s="202">
        <v>41349</v>
      </c>
      <c r="B76" s="203">
        <f t="shared" si="12"/>
        <v>3</v>
      </c>
      <c r="C76" s="203">
        <f t="shared" si="13"/>
        <v>0</v>
      </c>
      <c r="D76" s="201">
        <f t="shared" si="14"/>
        <v>0</v>
      </c>
      <c r="E76" s="201">
        <f t="shared" si="15"/>
        <v>0</v>
      </c>
      <c r="F76" s="201">
        <f t="shared" si="16"/>
        <v>0</v>
      </c>
      <c r="G76" s="201">
        <f>SUM(D$2:D76)</f>
        <v>0</v>
      </c>
      <c r="H76" s="201">
        <f>SUM(E$2:E76)</f>
        <v>0</v>
      </c>
      <c r="I76" s="201">
        <f>SUM(F$2:F76)</f>
        <v>0</v>
      </c>
      <c r="J76" s="201">
        <f>Model!F$51</f>
        <v>23678.322499999998</v>
      </c>
      <c r="K76" s="201">
        <f>Model!G$51</f>
        <v>26052.648000000005</v>
      </c>
      <c r="L76" s="201">
        <f>Model!H$51</f>
        <v>27478.056499999995</v>
      </c>
      <c r="M76" s="201">
        <f>Model!I$51</f>
        <v>28903.236999999997</v>
      </c>
      <c r="N76" s="201">
        <f>Model!J$51</f>
        <v>29853.18</v>
      </c>
      <c r="O76" s="201">
        <f>Model!K$51</f>
        <v>0</v>
      </c>
      <c r="P76" s="201">
        <f>Model!L$51</f>
        <v>0</v>
      </c>
      <c r="Q76" s="201">
        <f>Model!M$51</f>
        <v>0</v>
      </c>
      <c r="R76" s="201">
        <f>Model!N$51</f>
        <v>0</v>
      </c>
      <c r="S76" s="201">
        <f>Model!R$51</f>
        <v>25000</v>
      </c>
      <c r="T76" s="204" t="str">
        <f t="shared" si="17"/>
        <v/>
      </c>
      <c r="U76" s="204" t="str">
        <f t="shared" si="18"/>
        <v/>
      </c>
      <c r="V76" s="204" t="str">
        <f t="shared" si="19"/>
        <v/>
      </c>
      <c r="W76" s="204" t="str">
        <f t="shared" si="17"/>
        <v/>
      </c>
      <c r="X76" s="204" t="str">
        <f t="shared" si="11"/>
        <v/>
      </c>
      <c r="Y76" s="204" t="str">
        <f t="shared" si="9"/>
        <v/>
      </c>
      <c r="Z76" s="204" t="str">
        <f t="shared" si="9"/>
        <v/>
      </c>
      <c r="AA76" s="204" t="str">
        <f t="shared" si="9"/>
        <v/>
      </c>
      <c r="AB76" s="204" t="str">
        <f t="shared" si="9"/>
        <v/>
      </c>
      <c r="AC76" s="204" t="str">
        <f t="shared" si="10"/>
        <v/>
      </c>
    </row>
    <row r="77" spans="1:29" x14ac:dyDescent="0.3">
      <c r="A77" s="202">
        <v>41350</v>
      </c>
      <c r="B77" s="203">
        <f t="shared" si="12"/>
        <v>3</v>
      </c>
      <c r="C77" s="203">
        <f t="shared" si="13"/>
        <v>0</v>
      </c>
      <c r="D77" s="201">
        <f t="shared" si="14"/>
        <v>0</v>
      </c>
      <c r="E77" s="201">
        <f t="shared" si="15"/>
        <v>0</v>
      </c>
      <c r="F77" s="201">
        <f t="shared" si="16"/>
        <v>0</v>
      </c>
      <c r="G77" s="201">
        <f>SUM(D$2:D77)</f>
        <v>0</v>
      </c>
      <c r="H77" s="201">
        <f>SUM(E$2:E77)</f>
        <v>0</v>
      </c>
      <c r="I77" s="201">
        <f>SUM(F$2:F77)</f>
        <v>0</v>
      </c>
      <c r="J77" s="201">
        <f>Model!F$51</f>
        <v>23678.322499999998</v>
      </c>
      <c r="K77" s="201">
        <f>Model!G$51</f>
        <v>26052.648000000005</v>
      </c>
      <c r="L77" s="201">
        <f>Model!H$51</f>
        <v>27478.056499999995</v>
      </c>
      <c r="M77" s="201">
        <f>Model!I$51</f>
        <v>28903.236999999997</v>
      </c>
      <c r="N77" s="201">
        <f>Model!J$51</f>
        <v>29853.18</v>
      </c>
      <c r="O77" s="201">
        <f>Model!K$51</f>
        <v>0</v>
      </c>
      <c r="P77" s="201">
        <f>Model!L$51</f>
        <v>0</v>
      </c>
      <c r="Q77" s="201">
        <f>Model!M$51</f>
        <v>0</v>
      </c>
      <c r="R77" s="201">
        <f>Model!N$51</f>
        <v>0</v>
      </c>
      <c r="S77" s="201">
        <f>Model!R$51</f>
        <v>25000</v>
      </c>
      <c r="T77" s="204" t="str">
        <f t="shared" si="17"/>
        <v/>
      </c>
      <c r="U77" s="204" t="str">
        <f t="shared" si="18"/>
        <v/>
      </c>
      <c r="V77" s="204" t="str">
        <f t="shared" si="19"/>
        <v/>
      </c>
      <c r="W77" s="204" t="str">
        <f t="shared" si="17"/>
        <v/>
      </c>
      <c r="X77" s="204" t="str">
        <f t="shared" si="11"/>
        <v/>
      </c>
      <c r="Y77" s="204" t="str">
        <f t="shared" si="9"/>
        <v/>
      </c>
      <c r="Z77" s="204" t="str">
        <f t="shared" si="9"/>
        <v/>
      </c>
      <c r="AA77" s="204" t="str">
        <f t="shared" si="9"/>
        <v/>
      </c>
      <c r="AB77" s="204" t="str">
        <f t="shared" si="9"/>
        <v/>
      </c>
      <c r="AC77" s="204" t="str">
        <f t="shared" si="10"/>
        <v/>
      </c>
    </row>
    <row r="78" spans="1:29" x14ac:dyDescent="0.3">
      <c r="A78" s="202">
        <v>41351</v>
      </c>
      <c r="B78" s="203">
        <f t="shared" si="12"/>
        <v>3</v>
      </c>
      <c r="C78" s="203">
        <f t="shared" si="13"/>
        <v>0</v>
      </c>
      <c r="D78" s="201">
        <f t="shared" si="14"/>
        <v>0</v>
      </c>
      <c r="E78" s="201">
        <f t="shared" si="15"/>
        <v>0</v>
      </c>
      <c r="F78" s="201">
        <f t="shared" si="16"/>
        <v>0</v>
      </c>
      <c r="G78" s="201">
        <f>SUM(D$2:D78)</f>
        <v>0</v>
      </c>
      <c r="H78" s="201">
        <f>SUM(E$2:E78)</f>
        <v>0</v>
      </c>
      <c r="I78" s="201">
        <f>SUM(F$2:F78)</f>
        <v>0</v>
      </c>
      <c r="J78" s="201">
        <f>Model!F$51</f>
        <v>23678.322499999998</v>
      </c>
      <c r="K78" s="201">
        <f>Model!G$51</f>
        <v>26052.648000000005</v>
      </c>
      <c r="L78" s="201">
        <f>Model!H$51</f>
        <v>27478.056499999995</v>
      </c>
      <c r="M78" s="201">
        <f>Model!I$51</f>
        <v>28903.236999999997</v>
      </c>
      <c r="N78" s="201">
        <f>Model!J$51</f>
        <v>29853.18</v>
      </c>
      <c r="O78" s="201">
        <f>Model!K$51</f>
        <v>0</v>
      </c>
      <c r="P78" s="201">
        <f>Model!L$51</f>
        <v>0</v>
      </c>
      <c r="Q78" s="201">
        <f>Model!M$51</f>
        <v>0</v>
      </c>
      <c r="R78" s="201">
        <f>Model!N$51</f>
        <v>0</v>
      </c>
      <c r="S78" s="201">
        <f>Model!R$51</f>
        <v>25000</v>
      </c>
      <c r="T78" s="204" t="str">
        <f t="shared" si="17"/>
        <v/>
      </c>
      <c r="U78" s="204" t="str">
        <f t="shared" si="18"/>
        <v/>
      </c>
      <c r="V78" s="204" t="str">
        <f t="shared" si="19"/>
        <v/>
      </c>
      <c r="W78" s="204" t="str">
        <f t="shared" si="17"/>
        <v/>
      </c>
      <c r="X78" s="204" t="str">
        <f t="shared" si="11"/>
        <v/>
      </c>
      <c r="Y78" s="204" t="str">
        <f t="shared" si="9"/>
        <v/>
      </c>
      <c r="Z78" s="204" t="str">
        <f t="shared" si="9"/>
        <v/>
      </c>
      <c r="AA78" s="204" t="str">
        <f t="shared" si="9"/>
        <v/>
      </c>
      <c r="AB78" s="204" t="str">
        <f t="shared" si="9"/>
        <v/>
      </c>
      <c r="AC78" s="204" t="str">
        <f t="shared" si="10"/>
        <v/>
      </c>
    </row>
    <row r="79" spans="1:29" x14ac:dyDescent="0.3">
      <c r="A79" s="202">
        <v>41352</v>
      </c>
      <c r="B79" s="203">
        <f t="shared" si="12"/>
        <v>3</v>
      </c>
      <c r="C79" s="203">
        <f t="shared" si="13"/>
        <v>0</v>
      </c>
      <c r="D79" s="201">
        <f t="shared" si="14"/>
        <v>0</v>
      </c>
      <c r="E79" s="201">
        <f t="shared" si="15"/>
        <v>0</v>
      </c>
      <c r="F79" s="201">
        <f t="shared" si="16"/>
        <v>0</v>
      </c>
      <c r="G79" s="201">
        <f>SUM(D$2:D79)</f>
        <v>0</v>
      </c>
      <c r="H79" s="201">
        <f>SUM(E$2:E79)</f>
        <v>0</v>
      </c>
      <c r="I79" s="201">
        <f>SUM(F$2:F79)</f>
        <v>0</v>
      </c>
      <c r="J79" s="201">
        <f>Model!F$51</f>
        <v>23678.322499999998</v>
      </c>
      <c r="K79" s="201">
        <f>Model!G$51</f>
        <v>26052.648000000005</v>
      </c>
      <c r="L79" s="201">
        <f>Model!H$51</f>
        <v>27478.056499999995</v>
      </c>
      <c r="M79" s="201">
        <f>Model!I$51</f>
        <v>28903.236999999997</v>
      </c>
      <c r="N79" s="201">
        <f>Model!J$51</f>
        <v>29853.18</v>
      </c>
      <c r="O79" s="201">
        <f>Model!K$51</f>
        <v>0</v>
      </c>
      <c r="P79" s="201">
        <f>Model!L$51</f>
        <v>0</v>
      </c>
      <c r="Q79" s="201">
        <f>Model!M$51</f>
        <v>0</v>
      </c>
      <c r="R79" s="201">
        <f>Model!N$51</f>
        <v>0</v>
      </c>
      <c r="S79" s="201">
        <f>Model!R$51</f>
        <v>25000</v>
      </c>
      <c r="T79" s="204" t="str">
        <f t="shared" si="17"/>
        <v/>
      </c>
      <c r="U79" s="204" t="str">
        <f t="shared" si="18"/>
        <v/>
      </c>
      <c r="V79" s="204" t="str">
        <f t="shared" si="19"/>
        <v/>
      </c>
      <c r="W79" s="204" t="str">
        <f t="shared" si="17"/>
        <v/>
      </c>
      <c r="X79" s="204" t="str">
        <f t="shared" si="11"/>
        <v/>
      </c>
      <c r="Y79" s="204" t="str">
        <f t="shared" si="9"/>
        <v/>
      </c>
      <c r="Z79" s="204" t="str">
        <f t="shared" si="9"/>
        <v/>
      </c>
      <c r="AA79" s="204" t="str">
        <f t="shared" si="9"/>
        <v/>
      </c>
      <c r="AB79" s="204" t="str">
        <f t="shared" si="9"/>
        <v/>
      </c>
      <c r="AC79" s="204" t="str">
        <f t="shared" si="10"/>
        <v/>
      </c>
    </row>
    <row r="80" spans="1:29" x14ac:dyDescent="0.3">
      <c r="A80" s="202">
        <v>41353</v>
      </c>
      <c r="B80" s="203">
        <f t="shared" si="12"/>
        <v>3</v>
      </c>
      <c r="C80" s="203">
        <f t="shared" si="13"/>
        <v>0</v>
      </c>
      <c r="D80" s="201">
        <f t="shared" si="14"/>
        <v>0</v>
      </c>
      <c r="E80" s="201">
        <f t="shared" si="15"/>
        <v>0</v>
      </c>
      <c r="F80" s="201">
        <f t="shared" si="16"/>
        <v>0</v>
      </c>
      <c r="G80" s="201">
        <f>SUM(D$2:D80)</f>
        <v>0</v>
      </c>
      <c r="H80" s="201">
        <f>SUM(E$2:E80)</f>
        <v>0</v>
      </c>
      <c r="I80" s="201">
        <f>SUM(F$2:F80)</f>
        <v>0</v>
      </c>
      <c r="J80" s="201">
        <f>Model!F$51</f>
        <v>23678.322499999998</v>
      </c>
      <c r="K80" s="201">
        <f>Model!G$51</f>
        <v>26052.648000000005</v>
      </c>
      <c r="L80" s="201">
        <f>Model!H$51</f>
        <v>27478.056499999995</v>
      </c>
      <c r="M80" s="201">
        <f>Model!I$51</f>
        <v>28903.236999999997</v>
      </c>
      <c r="N80" s="201">
        <f>Model!J$51</f>
        <v>29853.18</v>
      </c>
      <c r="O80" s="201">
        <f>Model!K$51</f>
        <v>0</v>
      </c>
      <c r="P80" s="201">
        <f>Model!L$51</f>
        <v>0</v>
      </c>
      <c r="Q80" s="201">
        <f>Model!M$51</f>
        <v>0</v>
      </c>
      <c r="R80" s="201">
        <f>Model!N$51</f>
        <v>0</v>
      </c>
      <c r="S80" s="201">
        <f>Model!R$51</f>
        <v>25000</v>
      </c>
      <c r="T80" s="204" t="str">
        <f t="shared" si="17"/>
        <v/>
      </c>
      <c r="U80" s="204" t="str">
        <f t="shared" si="18"/>
        <v/>
      </c>
      <c r="V80" s="204" t="str">
        <f t="shared" si="19"/>
        <v/>
      </c>
      <c r="W80" s="204" t="str">
        <f t="shared" si="17"/>
        <v/>
      </c>
      <c r="X80" s="204" t="str">
        <f t="shared" si="11"/>
        <v/>
      </c>
      <c r="Y80" s="204" t="str">
        <f t="shared" si="9"/>
        <v/>
      </c>
      <c r="Z80" s="204" t="str">
        <f t="shared" si="9"/>
        <v/>
      </c>
      <c r="AA80" s="204" t="str">
        <f t="shared" si="9"/>
        <v/>
      </c>
      <c r="AB80" s="204" t="str">
        <f t="shared" si="9"/>
        <v/>
      </c>
      <c r="AC80" s="204" t="str">
        <f t="shared" si="10"/>
        <v/>
      </c>
    </row>
    <row r="81" spans="1:29" x14ac:dyDescent="0.3">
      <c r="A81" s="202">
        <v>41354</v>
      </c>
      <c r="B81" s="203">
        <f t="shared" si="12"/>
        <v>3</v>
      </c>
      <c r="C81" s="203">
        <f t="shared" si="13"/>
        <v>0</v>
      </c>
      <c r="D81" s="201">
        <f t="shared" si="14"/>
        <v>0</v>
      </c>
      <c r="E81" s="201">
        <f t="shared" si="15"/>
        <v>0</v>
      </c>
      <c r="F81" s="201">
        <f t="shared" si="16"/>
        <v>0</v>
      </c>
      <c r="G81" s="201">
        <f>SUM(D$2:D81)</f>
        <v>0</v>
      </c>
      <c r="H81" s="201">
        <f>SUM(E$2:E81)</f>
        <v>0</v>
      </c>
      <c r="I81" s="201">
        <f>SUM(F$2:F81)</f>
        <v>0</v>
      </c>
      <c r="J81" s="201">
        <f>Model!F$51</f>
        <v>23678.322499999998</v>
      </c>
      <c r="K81" s="201">
        <f>Model!G$51</f>
        <v>26052.648000000005</v>
      </c>
      <c r="L81" s="201">
        <f>Model!H$51</f>
        <v>27478.056499999995</v>
      </c>
      <c r="M81" s="201">
        <f>Model!I$51</f>
        <v>28903.236999999997</v>
      </c>
      <c r="N81" s="201">
        <f>Model!J$51</f>
        <v>29853.18</v>
      </c>
      <c r="O81" s="201">
        <f>Model!K$51</f>
        <v>0</v>
      </c>
      <c r="P81" s="201">
        <f>Model!L$51</f>
        <v>0</v>
      </c>
      <c r="Q81" s="201">
        <f>Model!M$51</f>
        <v>0</v>
      </c>
      <c r="R81" s="201">
        <f>Model!N$51</f>
        <v>0</v>
      </c>
      <c r="S81" s="201">
        <f>Model!R$51</f>
        <v>25000</v>
      </c>
      <c r="T81" s="204" t="str">
        <f t="shared" si="17"/>
        <v/>
      </c>
      <c r="U81" s="204" t="str">
        <f t="shared" si="18"/>
        <v/>
      </c>
      <c r="V81" s="204" t="str">
        <f t="shared" si="19"/>
        <v/>
      </c>
      <c r="W81" s="204" t="str">
        <f t="shared" si="17"/>
        <v/>
      </c>
      <c r="X81" s="204" t="str">
        <f t="shared" si="11"/>
        <v/>
      </c>
      <c r="Y81" s="204" t="str">
        <f t="shared" si="9"/>
        <v/>
      </c>
      <c r="Z81" s="204" t="str">
        <f t="shared" si="9"/>
        <v/>
      </c>
      <c r="AA81" s="204" t="str">
        <f t="shared" si="9"/>
        <v/>
      </c>
      <c r="AB81" s="204" t="str">
        <f t="shared" ref="AB81:AC144" si="20">IF(ISNUMBER(AB80),"  ",IF(AB80="  ","  ",IF($G81&gt;R81,$A81,"")))</f>
        <v/>
      </c>
      <c r="AC81" s="204" t="str">
        <f t="shared" si="10"/>
        <v/>
      </c>
    </row>
    <row r="82" spans="1:29" x14ac:dyDescent="0.3">
      <c r="A82" s="202">
        <v>41355</v>
      </c>
      <c r="B82" s="203">
        <f t="shared" si="12"/>
        <v>3</v>
      </c>
      <c r="C82" s="203">
        <f t="shared" si="13"/>
        <v>0</v>
      </c>
      <c r="D82" s="201">
        <f t="shared" si="14"/>
        <v>0</v>
      </c>
      <c r="E82" s="201">
        <f t="shared" si="15"/>
        <v>0</v>
      </c>
      <c r="F82" s="201">
        <f t="shared" si="16"/>
        <v>0</v>
      </c>
      <c r="G82" s="201">
        <f>SUM(D$2:D82)</f>
        <v>0</v>
      </c>
      <c r="H82" s="201">
        <f>SUM(E$2:E82)</f>
        <v>0</v>
      </c>
      <c r="I82" s="201">
        <f>SUM(F$2:F82)</f>
        <v>0</v>
      </c>
      <c r="J82" s="201">
        <f>Model!F$51</f>
        <v>23678.322499999998</v>
      </c>
      <c r="K82" s="201">
        <f>Model!G$51</f>
        <v>26052.648000000005</v>
      </c>
      <c r="L82" s="201">
        <f>Model!H$51</f>
        <v>27478.056499999995</v>
      </c>
      <c r="M82" s="201">
        <f>Model!I$51</f>
        <v>28903.236999999997</v>
      </c>
      <c r="N82" s="201">
        <f>Model!J$51</f>
        <v>29853.18</v>
      </c>
      <c r="O82" s="201">
        <f>Model!K$51</f>
        <v>0</v>
      </c>
      <c r="P82" s="201">
        <f>Model!L$51</f>
        <v>0</v>
      </c>
      <c r="Q82" s="201">
        <f>Model!M$51</f>
        <v>0</v>
      </c>
      <c r="R82" s="201">
        <f>Model!N$51</f>
        <v>0</v>
      </c>
      <c r="S82" s="201">
        <f>Model!R$51</f>
        <v>25000</v>
      </c>
      <c r="T82" s="204" t="str">
        <f t="shared" si="17"/>
        <v/>
      </c>
      <c r="U82" s="204" t="str">
        <f t="shared" si="18"/>
        <v/>
      </c>
      <c r="V82" s="204" t="str">
        <f t="shared" si="19"/>
        <v/>
      </c>
      <c r="W82" s="204" t="str">
        <f t="shared" si="17"/>
        <v/>
      </c>
      <c r="X82" s="204" t="str">
        <f t="shared" si="11"/>
        <v/>
      </c>
      <c r="Y82" s="204" t="str">
        <f t="shared" si="11"/>
        <v/>
      </c>
      <c r="Z82" s="204" t="str">
        <f t="shared" si="11"/>
        <v/>
      </c>
      <c r="AA82" s="204" t="str">
        <f t="shared" si="11"/>
        <v/>
      </c>
      <c r="AB82" s="204" t="str">
        <f t="shared" si="20"/>
        <v/>
      </c>
      <c r="AC82" s="204" t="str">
        <f t="shared" si="20"/>
        <v/>
      </c>
    </row>
    <row r="83" spans="1:29" x14ac:dyDescent="0.3">
      <c r="A83" s="202">
        <v>41356</v>
      </c>
      <c r="B83" s="203">
        <f t="shared" si="12"/>
        <v>3</v>
      </c>
      <c r="C83" s="203">
        <f t="shared" si="13"/>
        <v>0</v>
      </c>
      <c r="D83" s="201">
        <f t="shared" si="14"/>
        <v>0</v>
      </c>
      <c r="E83" s="201">
        <f t="shared" si="15"/>
        <v>0</v>
      </c>
      <c r="F83" s="201">
        <f t="shared" si="16"/>
        <v>0</v>
      </c>
      <c r="G83" s="201">
        <f>SUM(D$2:D83)</f>
        <v>0</v>
      </c>
      <c r="H83" s="201">
        <f>SUM(E$2:E83)</f>
        <v>0</v>
      </c>
      <c r="I83" s="201">
        <f>SUM(F$2:F83)</f>
        <v>0</v>
      </c>
      <c r="J83" s="201">
        <f>Model!F$51</f>
        <v>23678.322499999998</v>
      </c>
      <c r="K83" s="201">
        <f>Model!G$51</f>
        <v>26052.648000000005</v>
      </c>
      <c r="L83" s="201">
        <f>Model!H$51</f>
        <v>27478.056499999995</v>
      </c>
      <c r="M83" s="201">
        <f>Model!I$51</f>
        <v>28903.236999999997</v>
      </c>
      <c r="N83" s="201">
        <f>Model!J$51</f>
        <v>29853.18</v>
      </c>
      <c r="O83" s="201">
        <f>Model!K$51</f>
        <v>0</v>
      </c>
      <c r="P83" s="201">
        <f>Model!L$51</f>
        <v>0</v>
      </c>
      <c r="Q83" s="201">
        <f>Model!M$51</f>
        <v>0</v>
      </c>
      <c r="R83" s="201">
        <f>Model!N$51</f>
        <v>0</v>
      </c>
      <c r="S83" s="201">
        <f>Model!R$51</f>
        <v>25000</v>
      </c>
      <c r="T83" s="204" t="str">
        <f t="shared" si="17"/>
        <v/>
      </c>
      <c r="U83" s="204" t="str">
        <f t="shared" si="18"/>
        <v/>
      </c>
      <c r="V83" s="204" t="str">
        <f t="shared" si="19"/>
        <v/>
      </c>
      <c r="W83" s="204" t="str">
        <f t="shared" si="17"/>
        <v/>
      </c>
      <c r="X83" s="204" t="str">
        <f t="shared" si="11"/>
        <v/>
      </c>
      <c r="Y83" s="204" t="str">
        <f t="shared" si="11"/>
        <v/>
      </c>
      <c r="Z83" s="204" t="str">
        <f t="shared" si="11"/>
        <v/>
      </c>
      <c r="AA83" s="204" t="str">
        <f t="shared" si="11"/>
        <v/>
      </c>
      <c r="AB83" s="204" t="str">
        <f t="shared" si="20"/>
        <v/>
      </c>
      <c r="AC83" s="204" t="str">
        <f t="shared" si="20"/>
        <v/>
      </c>
    </row>
    <row r="84" spans="1:29" x14ac:dyDescent="0.3">
      <c r="A84" s="202">
        <v>41357</v>
      </c>
      <c r="B84" s="203">
        <f t="shared" si="12"/>
        <v>3</v>
      </c>
      <c r="C84" s="203">
        <f t="shared" si="13"/>
        <v>0</v>
      </c>
      <c r="D84" s="201">
        <f t="shared" si="14"/>
        <v>0</v>
      </c>
      <c r="E84" s="201">
        <f t="shared" si="15"/>
        <v>0</v>
      </c>
      <c r="F84" s="201">
        <f t="shared" si="16"/>
        <v>0</v>
      </c>
      <c r="G84" s="201">
        <f>SUM(D$2:D84)</f>
        <v>0</v>
      </c>
      <c r="H84" s="201">
        <f>SUM(E$2:E84)</f>
        <v>0</v>
      </c>
      <c r="I84" s="201">
        <f>SUM(F$2:F84)</f>
        <v>0</v>
      </c>
      <c r="J84" s="201">
        <f>Model!F$51</f>
        <v>23678.322499999998</v>
      </c>
      <c r="K84" s="201">
        <f>Model!G$51</f>
        <v>26052.648000000005</v>
      </c>
      <c r="L84" s="201">
        <f>Model!H$51</f>
        <v>27478.056499999995</v>
      </c>
      <c r="M84" s="201">
        <f>Model!I$51</f>
        <v>28903.236999999997</v>
      </c>
      <c r="N84" s="201">
        <f>Model!J$51</f>
        <v>29853.18</v>
      </c>
      <c r="O84" s="201">
        <f>Model!K$51</f>
        <v>0</v>
      </c>
      <c r="P84" s="201">
        <f>Model!L$51</f>
        <v>0</v>
      </c>
      <c r="Q84" s="201">
        <f>Model!M$51</f>
        <v>0</v>
      </c>
      <c r="R84" s="201">
        <f>Model!N$51</f>
        <v>0</v>
      </c>
      <c r="S84" s="201">
        <f>Model!R$51</f>
        <v>25000</v>
      </c>
      <c r="T84" s="204" t="str">
        <f t="shared" si="17"/>
        <v/>
      </c>
      <c r="U84" s="204" t="str">
        <f t="shared" si="18"/>
        <v/>
      </c>
      <c r="V84" s="204" t="str">
        <f t="shared" si="19"/>
        <v/>
      </c>
      <c r="W84" s="204" t="str">
        <f t="shared" si="17"/>
        <v/>
      </c>
      <c r="X84" s="204" t="str">
        <f t="shared" si="11"/>
        <v/>
      </c>
      <c r="Y84" s="204" t="str">
        <f t="shared" si="11"/>
        <v/>
      </c>
      <c r="Z84" s="204" t="str">
        <f t="shared" si="11"/>
        <v/>
      </c>
      <c r="AA84" s="204" t="str">
        <f t="shared" si="11"/>
        <v/>
      </c>
      <c r="AB84" s="204" t="str">
        <f t="shared" si="20"/>
        <v/>
      </c>
      <c r="AC84" s="204" t="str">
        <f t="shared" si="20"/>
        <v/>
      </c>
    </row>
    <row r="85" spans="1:29" x14ac:dyDescent="0.3">
      <c r="A85" s="202">
        <v>41358</v>
      </c>
      <c r="B85" s="203">
        <f t="shared" si="12"/>
        <v>3</v>
      </c>
      <c r="C85" s="203">
        <f t="shared" si="13"/>
        <v>0</v>
      </c>
      <c r="D85" s="201">
        <f t="shared" si="14"/>
        <v>0</v>
      </c>
      <c r="E85" s="201">
        <f t="shared" si="15"/>
        <v>0</v>
      </c>
      <c r="F85" s="201">
        <f t="shared" si="16"/>
        <v>0</v>
      </c>
      <c r="G85" s="201">
        <f>SUM(D$2:D85)</f>
        <v>0</v>
      </c>
      <c r="H85" s="201">
        <f>SUM(E$2:E85)</f>
        <v>0</v>
      </c>
      <c r="I85" s="201">
        <f>SUM(F$2:F85)</f>
        <v>0</v>
      </c>
      <c r="J85" s="201">
        <f>Model!F$51</f>
        <v>23678.322499999998</v>
      </c>
      <c r="K85" s="201">
        <f>Model!G$51</f>
        <v>26052.648000000005</v>
      </c>
      <c r="L85" s="201">
        <f>Model!H$51</f>
        <v>27478.056499999995</v>
      </c>
      <c r="M85" s="201">
        <f>Model!I$51</f>
        <v>28903.236999999997</v>
      </c>
      <c r="N85" s="201">
        <f>Model!J$51</f>
        <v>29853.18</v>
      </c>
      <c r="O85" s="201">
        <f>Model!K$51</f>
        <v>0</v>
      </c>
      <c r="P85" s="201">
        <f>Model!L$51</f>
        <v>0</v>
      </c>
      <c r="Q85" s="201">
        <f>Model!M$51</f>
        <v>0</v>
      </c>
      <c r="R85" s="201">
        <f>Model!N$51</f>
        <v>0</v>
      </c>
      <c r="S85" s="201">
        <f>Model!R$51</f>
        <v>25000</v>
      </c>
      <c r="T85" s="204" t="str">
        <f t="shared" si="17"/>
        <v/>
      </c>
      <c r="U85" s="204" t="str">
        <f t="shared" si="18"/>
        <v/>
      </c>
      <c r="V85" s="204" t="str">
        <f t="shared" si="19"/>
        <v/>
      </c>
      <c r="W85" s="204" t="str">
        <f t="shared" si="17"/>
        <v/>
      </c>
      <c r="X85" s="204" t="str">
        <f t="shared" si="11"/>
        <v/>
      </c>
      <c r="Y85" s="204" t="str">
        <f t="shared" si="11"/>
        <v/>
      </c>
      <c r="Z85" s="204" t="str">
        <f t="shared" si="11"/>
        <v/>
      </c>
      <c r="AA85" s="204" t="str">
        <f t="shared" si="11"/>
        <v/>
      </c>
      <c r="AB85" s="204" t="str">
        <f t="shared" si="20"/>
        <v/>
      </c>
      <c r="AC85" s="204" t="str">
        <f t="shared" si="20"/>
        <v/>
      </c>
    </row>
    <row r="86" spans="1:29" x14ac:dyDescent="0.3">
      <c r="A86" s="202">
        <v>41359</v>
      </c>
      <c r="B86" s="203">
        <f t="shared" si="12"/>
        <v>3</v>
      </c>
      <c r="C86" s="203">
        <f t="shared" si="13"/>
        <v>0</v>
      </c>
      <c r="D86" s="201">
        <f t="shared" si="14"/>
        <v>0</v>
      </c>
      <c r="E86" s="201">
        <f t="shared" si="15"/>
        <v>0</v>
      </c>
      <c r="F86" s="201">
        <f t="shared" si="16"/>
        <v>0</v>
      </c>
      <c r="G86" s="201">
        <f>SUM(D$2:D86)</f>
        <v>0</v>
      </c>
      <c r="H86" s="201">
        <f>SUM(E$2:E86)</f>
        <v>0</v>
      </c>
      <c r="I86" s="201">
        <f>SUM(F$2:F86)</f>
        <v>0</v>
      </c>
      <c r="J86" s="201">
        <f>Model!F$51</f>
        <v>23678.322499999998</v>
      </c>
      <c r="K86" s="201">
        <f>Model!G$51</f>
        <v>26052.648000000005</v>
      </c>
      <c r="L86" s="201">
        <f>Model!H$51</f>
        <v>27478.056499999995</v>
      </c>
      <c r="M86" s="201">
        <f>Model!I$51</f>
        <v>28903.236999999997</v>
      </c>
      <c r="N86" s="201">
        <f>Model!J$51</f>
        <v>29853.18</v>
      </c>
      <c r="O86" s="201">
        <f>Model!K$51</f>
        <v>0</v>
      </c>
      <c r="P86" s="201">
        <f>Model!L$51</f>
        <v>0</v>
      </c>
      <c r="Q86" s="201">
        <f>Model!M$51</f>
        <v>0</v>
      </c>
      <c r="R86" s="201">
        <f>Model!N$51</f>
        <v>0</v>
      </c>
      <c r="S86" s="201">
        <f>Model!R$51</f>
        <v>25000</v>
      </c>
      <c r="T86" s="204" t="str">
        <f t="shared" si="17"/>
        <v/>
      </c>
      <c r="U86" s="204" t="str">
        <f t="shared" si="18"/>
        <v/>
      </c>
      <c r="V86" s="204" t="str">
        <f t="shared" si="19"/>
        <v/>
      </c>
      <c r="W86" s="204" t="str">
        <f t="shared" si="17"/>
        <v/>
      </c>
      <c r="X86" s="204" t="str">
        <f t="shared" si="11"/>
        <v/>
      </c>
      <c r="Y86" s="204" t="str">
        <f t="shared" si="11"/>
        <v/>
      </c>
      <c r="Z86" s="204" t="str">
        <f t="shared" si="11"/>
        <v/>
      </c>
      <c r="AA86" s="204" t="str">
        <f t="shared" si="11"/>
        <v/>
      </c>
      <c r="AB86" s="204" t="str">
        <f t="shared" si="20"/>
        <v/>
      </c>
      <c r="AC86" s="204" t="str">
        <f t="shared" si="20"/>
        <v/>
      </c>
    </row>
    <row r="87" spans="1:29" x14ac:dyDescent="0.3">
      <c r="A87" s="202">
        <v>41360</v>
      </c>
      <c r="B87" s="203">
        <f t="shared" si="12"/>
        <v>3</v>
      </c>
      <c r="C87" s="203">
        <f t="shared" si="13"/>
        <v>0</v>
      </c>
      <c r="D87" s="201">
        <f t="shared" si="14"/>
        <v>0</v>
      </c>
      <c r="E87" s="201">
        <f t="shared" si="15"/>
        <v>0</v>
      </c>
      <c r="F87" s="201">
        <f t="shared" si="16"/>
        <v>0</v>
      </c>
      <c r="G87" s="201">
        <f>SUM(D$2:D87)</f>
        <v>0</v>
      </c>
      <c r="H87" s="201">
        <f>SUM(E$2:E87)</f>
        <v>0</v>
      </c>
      <c r="I87" s="201">
        <f>SUM(F$2:F87)</f>
        <v>0</v>
      </c>
      <c r="J87" s="201">
        <f>Model!F$51</f>
        <v>23678.322499999998</v>
      </c>
      <c r="K87" s="201">
        <f>Model!G$51</f>
        <v>26052.648000000005</v>
      </c>
      <c r="L87" s="201">
        <f>Model!H$51</f>
        <v>27478.056499999995</v>
      </c>
      <c r="M87" s="201">
        <f>Model!I$51</f>
        <v>28903.236999999997</v>
      </c>
      <c r="N87" s="201">
        <f>Model!J$51</f>
        <v>29853.18</v>
      </c>
      <c r="O87" s="201">
        <f>Model!K$51</f>
        <v>0</v>
      </c>
      <c r="P87" s="201">
        <f>Model!L$51</f>
        <v>0</v>
      </c>
      <c r="Q87" s="201">
        <f>Model!M$51</f>
        <v>0</v>
      </c>
      <c r="R87" s="201">
        <f>Model!N$51</f>
        <v>0</v>
      </c>
      <c r="S87" s="201">
        <f>Model!R$51</f>
        <v>25000</v>
      </c>
      <c r="T87" s="204" t="str">
        <f t="shared" si="17"/>
        <v/>
      </c>
      <c r="U87" s="204" t="str">
        <f t="shared" si="18"/>
        <v/>
      </c>
      <c r="V87" s="204" t="str">
        <f t="shared" si="19"/>
        <v/>
      </c>
      <c r="W87" s="204" t="str">
        <f t="shared" si="17"/>
        <v/>
      </c>
      <c r="X87" s="204" t="str">
        <f t="shared" si="11"/>
        <v/>
      </c>
      <c r="Y87" s="204" t="str">
        <f t="shared" si="11"/>
        <v/>
      </c>
      <c r="Z87" s="204" t="str">
        <f t="shared" si="11"/>
        <v/>
      </c>
      <c r="AA87" s="204" t="str">
        <f t="shared" si="11"/>
        <v/>
      </c>
      <c r="AB87" s="204" t="str">
        <f t="shared" si="20"/>
        <v/>
      </c>
      <c r="AC87" s="204" t="str">
        <f t="shared" si="20"/>
        <v/>
      </c>
    </row>
    <row r="88" spans="1:29" x14ac:dyDescent="0.3">
      <c r="A88" s="202">
        <v>41361</v>
      </c>
      <c r="B88" s="203">
        <f t="shared" si="12"/>
        <v>3</v>
      </c>
      <c r="C88" s="203">
        <f t="shared" si="13"/>
        <v>0</v>
      </c>
      <c r="D88" s="201">
        <f t="shared" si="14"/>
        <v>0</v>
      </c>
      <c r="E88" s="201">
        <f t="shared" si="15"/>
        <v>0</v>
      </c>
      <c r="F88" s="201">
        <f t="shared" si="16"/>
        <v>0</v>
      </c>
      <c r="G88" s="201">
        <f>SUM(D$2:D88)</f>
        <v>0</v>
      </c>
      <c r="H88" s="201">
        <f>SUM(E$2:E88)</f>
        <v>0</v>
      </c>
      <c r="I88" s="201">
        <f>SUM(F$2:F88)</f>
        <v>0</v>
      </c>
      <c r="J88" s="201">
        <f>Model!F$51</f>
        <v>23678.322499999998</v>
      </c>
      <c r="K88" s="201">
        <f>Model!G$51</f>
        <v>26052.648000000005</v>
      </c>
      <c r="L88" s="201">
        <f>Model!H$51</f>
        <v>27478.056499999995</v>
      </c>
      <c r="M88" s="201">
        <f>Model!I$51</f>
        <v>28903.236999999997</v>
      </c>
      <c r="N88" s="201">
        <f>Model!J$51</f>
        <v>29853.18</v>
      </c>
      <c r="O88" s="201">
        <f>Model!K$51</f>
        <v>0</v>
      </c>
      <c r="P88" s="201">
        <f>Model!L$51</f>
        <v>0</v>
      </c>
      <c r="Q88" s="201">
        <f>Model!M$51</f>
        <v>0</v>
      </c>
      <c r="R88" s="201">
        <f>Model!N$51</f>
        <v>0</v>
      </c>
      <c r="S88" s="201">
        <f>Model!R$51</f>
        <v>25000</v>
      </c>
      <c r="T88" s="204" t="str">
        <f t="shared" si="17"/>
        <v/>
      </c>
      <c r="U88" s="204" t="str">
        <f t="shared" si="18"/>
        <v/>
      </c>
      <c r="V88" s="204" t="str">
        <f t="shared" si="19"/>
        <v/>
      </c>
      <c r="W88" s="204" t="str">
        <f t="shared" si="17"/>
        <v/>
      </c>
      <c r="X88" s="204" t="str">
        <f t="shared" si="11"/>
        <v/>
      </c>
      <c r="Y88" s="204" t="str">
        <f t="shared" si="11"/>
        <v/>
      </c>
      <c r="Z88" s="204" t="str">
        <f t="shared" si="11"/>
        <v/>
      </c>
      <c r="AA88" s="204" t="str">
        <f t="shared" si="11"/>
        <v/>
      </c>
      <c r="AB88" s="204" t="str">
        <f t="shared" si="20"/>
        <v/>
      </c>
      <c r="AC88" s="204" t="str">
        <f t="shared" si="20"/>
        <v/>
      </c>
    </row>
    <row r="89" spans="1:29" x14ac:dyDescent="0.3">
      <c r="A89" s="202">
        <v>41362</v>
      </c>
      <c r="B89" s="203">
        <f t="shared" si="12"/>
        <v>3</v>
      </c>
      <c r="C89" s="203">
        <f t="shared" si="13"/>
        <v>0</v>
      </c>
      <c r="D89" s="201">
        <f t="shared" si="14"/>
        <v>0</v>
      </c>
      <c r="E89" s="201">
        <f t="shared" si="15"/>
        <v>0</v>
      </c>
      <c r="F89" s="201">
        <f t="shared" si="16"/>
        <v>0</v>
      </c>
      <c r="G89" s="201">
        <f>SUM(D$2:D89)</f>
        <v>0</v>
      </c>
      <c r="H89" s="201">
        <f>SUM(E$2:E89)</f>
        <v>0</v>
      </c>
      <c r="I89" s="201">
        <f>SUM(F$2:F89)</f>
        <v>0</v>
      </c>
      <c r="J89" s="201">
        <f>Model!F$51</f>
        <v>23678.322499999998</v>
      </c>
      <c r="K89" s="201">
        <f>Model!G$51</f>
        <v>26052.648000000005</v>
      </c>
      <c r="L89" s="201">
        <f>Model!H$51</f>
        <v>27478.056499999995</v>
      </c>
      <c r="M89" s="201">
        <f>Model!I$51</f>
        <v>28903.236999999997</v>
      </c>
      <c r="N89" s="201">
        <f>Model!J$51</f>
        <v>29853.18</v>
      </c>
      <c r="O89" s="201">
        <f>Model!K$51</f>
        <v>0</v>
      </c>
      <c r="P89" s="201">
        <f>Model!L$51</f>
        <v>0</v>
      </c>
      <c r="Q89" s="201">
        <f>Model!M$51</f>
        <v>0</v>
      </c>
      <c r="R89" s="201">
        <f>Model!N$51</f>
        <v>0</v>
      </c>
      <c r="S89" s="201">
        <f>Model!R$51</f>
        <v>25000</v>
      </c>
      <c r="T89" s="204" t="str">
        <f t="shared" si="17"/>
        <v/>
      </c>
      <c r="U89" s="204" t="str">
        <f t="shared" si="18"/>
        <v/>
      </c>
      <c r="V89" s="204" t="str">
        <f t="shared" si="19"/>
        <v/>
      </c>
      <c r="W89" s="204" t="str">
        <f t="shared" si="17"/>
        <v/>
      </c>
      <c r="X89" s="204" t="str">
        <f t="shared" si="11"/>
        <v/>
      </c>
      <c r="Y89" s="204" t="str">
        <f t="shared" si="11"/>
        <v/>
      </c>
      <c r="Z89" s="204" t="str">
        <f t="shared" si="11"/>
        <v/>
      </c>
      <c r="AA89" s="204" t="str">
        <f t="shared" si="11"/>
        <v/>
      </c>
      <c r="AB89" s="204" t="str">
        <f t="shared" si="20"/>
        <v/>
      </c>
      <c r="AC89" s="204" t="str">
        <f t="shared" si="20"/>
        <v/>
      </c>
    </row>
    <row r="90" spans="1:29" x14ac:dyDescent="0.3">
      <c r="A90" s="202">
        <v>41363</v>
      </c>
      <c r="B90" s="203">
        <f t="shared" si="12"/>
        <v>3</v>
      </c>
      <c r="C90" s="203">
        <f t="shared" si="13"/>
        <v>0</v>
      </c>
      <c r="D90" s="201">
        <f t="shared" si="14"/>
        <v>0</v>
      </c>
      <c r="E90" s="201">
        <f t="shared" si="15"/>
        <v>0</v>
      </c>
      <c r="F90" s="201">
        <f t="shared" si="16"/>
        <v>0</v>
      </c>
      <c r="G90" s="201">
        <f>SUM(D$2:D90)</f>
        <v>0</v>
      </c>
      <c r="H90" s="201">
        <f>SUM(E$2:E90)</f>
        <v>0</v>
      </c>
      <c r="I90" s="201">
        <f>SUM(F$2:F90)</f>
        <v>0</v>
      </c>
      <c r="J90" s="201">
        <f>Model!F$51</f>
        <v>23678.322499999998</v>
      </c>
      <c r="K90" s="201">
        <f>Model!G$51</f>
        <v>26052.648000000005</v>
      </c>
      <c r="L90" s="201">
        <f>Model!H$51</f>
        <v>27478.056499999995</v>
      </c>
      <c r="M90" s="201">
        <f>Model!I$51</f>
        <v>28903.236999999997</v>
      </c>
      <c r="N90" s="201">
        <f>Model!J$51</f>
        <v>29853.18</v>
      </c>
      <c r="O90" s="201">
        <f>Model!K$51</f>
        <v>0</v>
      </c>
      <c r="P90" s="201">
        <f>Model!L$51</f>
        <v>0</v>
      </c>
      <c r="Q90" s="201">
        <f>Model!M$51</f>
        <v>0</v>
      </c>
      <c r="R90" s="201">
        <f>Model!N$51</f>
        <v>0</v>
      </c>
      <c r="S90" s="201">
        <f>Model!R$51</f>
        <v>25000</v>
      </c>
      <c r="T90" s="204" t="str">
        <f t="shared" si="17"/>
        <v/>
      </c>
      <c r="U90" s="204" t="str">
        <f t="shared" si="18"/>
        <v/>
      </c>
      <c r="V90" s="204" t="str">
        <f t="shared" si="19"/>
        <v/>
      </c>
      <c r="W90" s="204" t="str">
        <f t="shared" si="17"/>
        <v/>
      </c>
      <c r="X90" s="204" t="str">
        <f t="shared" si="11"/>
        <v/>
      </c>
      <c r="Y90" s="204" t="str">
        <f t="shared" si="11"/>
        <v/>
      </c>
      <c r="Z90" s="204" t="str">
        <f t="shared" si="11"/>
        <v/>
      </c>
      <c r="AA90" s="204" t="str">
        <f t="shared" si="11"/>
        <v/>
      </c>
      <c r="AB90" s="204" t="str">
        <f t="shared" si="20"/>
        <v/>
      </c>
      <c r="AC90" s="204" t="str">
        <f t="shared" si="20"/>
        <v/>
      </c>
    </row>
    <row r="91" spans="1:29" x14ac:dyDescent="0.3">
      <c r="A91" s="202">
        <v>41364</v>
      </c>
      <c r="B91" s="203">
        <f t="shared" si="12"/>
        <v>3</v>
      </c>
      <c r="C91" s="203">
        <f t="shared" si="13"/>
        <v>0</v>
      </c>
      <c r="D91" s="201">
        <f t="shared" si="14"/>
        <v>0</v>
      </c>
      <c r="E91" s="201">
        <f t="shared" si="15"/>
        <v>0</v>
      </c>
      <c r="F91" s="201">
        <f t="shared" si="16"/>
        <v>0</v>
      </c>
      <c r="G91" s="201">
        <f>SUM(D$2:D91)</f>
        <v>0</v>
      </c>
      <c r="H91" s="201">
        <f>SUM(E$2:E91)</f>
        <v>0</v>
      </c>
      <c r="I91" s="201">
        <f>SUM(F$2:F91)</f>
        <v>0</v>
      </c>
      <c r="J91" s="201">
        <f>Model!F$51</f>
        <v>23678.322499999998</v>
      </c>
      <c r="K91" s="201">
        <f>Model!G$51</f>
        <v>26052.648000000005</v>
      </c>
      <c r="L91" s="201">
        <f>Model!H$51</f>
        <v>27478.056499999995</v>
      </c>
      <c r="M91" s="201">
        <f>Model!I$51</f>
        <v>28903.236999999997</v>
      </c>
      <c r="N91" s="201">
        <f>Model!J$51</f>
        <v>29853.18</v>
      </c>
      <c r="O91" s="201">
        <f>Model!K$51</f>
        <v>0</v>
      </c>
      <c r="P91" s="201">
        <f>Model!L$51</f>
        <v>0</v>
      </c>
      <c r="Q91" s="201">
        <f>Model!M$51</f>
        <v>0</v>
      </c>
      <c r="R91" s="201">
        <f>Model!N$51</f>
        <v>0</v>
      </c>
      <c r="S91" s="201">
        <f>Model!R$51</f>
        <v>25000</v>
      </c>
      <c r="T91" s="204" t="str">
        <f t="shared" si="17"/>
        <v/>
      </c>
      <c r="U91" s="204" t="str">
        <f t="shared" si="18"/>
        <v/>
      </c>
      <c r="V91" s="204" t="str">
        <f t="shared" si="19"/>
        <v/>
      </c>
      <c r="W91" s="204" t="str">
        <f t="shared" si="17"/>
        <v/>
      </c>
      <c r="X91" s="204" t="str">
        <f t="shared" si="11"/>
        <v/>
      </c>
      <c r="Y91" s="204" t="str">
        <f t="shared" si="11"/>
        <v/>
      </c>
      <c r="Z91" s="204" t="str">
        <f t="shared" si="11"/>
        <v/>
      </c>
      <c r="AA91" s="204" t="str">
        <f t="shared" si="11"/>
        <v/>
      </c>
      <c r="AB91" s="204" t="str">
        <f t="shared" si="20"/>
        <v/>
      </c>
      <c r="AC91" s="204" t="str">
        <f t="shared" si="20"/>
        <v/>
      </c>
    </row>
    <row r="92" spans="1:29" x14ac:dyDescent="0.3">
      <c r="A92" s="202">
        <v>41365</v>
      </c>
      <c r="B92" s="203">
        <f t="shared" si="12"/>
        <v>4</v>
      </c>
      <c r="C92" s="203">
        <f t="shared" si="13"/>
        <v>0</v>
      </c>
      <c r="D92" s="201">
        <f t="shared" si="14"/>
        <v>0</v>
      </c>
      <c r="E92" s="201">
        <f t="shared" si="15"/>
        <v>0</v>
      </c>
      <c r="F92" s="201">
        <f t="shared" si="16"/>
        <v>0</v>
      </c>
      <c r="G92" s="201">
        <f>SUM(D$2:D92)</f>
        <v>0</v>
      </c>
      <c r="H92" s="201">
        <f>SUM(E$2:E92)</f>
        <v>0</v>
      </c>
      <c r="I92" s="201">
        <f>SUM(F$2:F92)</f>
        <v>0</v>
      </c>
      <c r="J92" s="201">
        <f>Model!F$51</f>
        <v>23678.322499999998</v>
      </c>
      <c r="K92" s="201">
        <f>Model!G$51</f>
        <v>26052.648000000005</v>
      </c>
      <c r="L92" s="201">
        <f>Model!H$51</f>
        <v>27478.056499999995</v>
      </c>
      <c r="M92" s="201">
        <f>Model!I$51</f>
        <v>28903.236999999997</v>
      </c>
      <c r="N92" s="201">
        <f>Model!J$51</f>
        <v>29853.18</v>
      </c>
      <c r="O92" s="201">
        <f>Model!K$51</f>
        <v>0</v>
      </c>
      <c r="P92" s="201">
        <f>Model!L$51</f>
        <v>0</v>
      </c>
      <c r="Q92" s="201">
        <f>Model!M$51</f>
        <v>0</v>
      </c>
      <c r="R92" s="201">
        <f>Model!N$51</f>
        <v>0</v>
      </c>
      <c r="S92" s="201">
        <f>Model!R$51</f>
        <v>25000</v>
      </c>
      <c r="T92" s="204" t="str">
        <f t="shared" si="17"/>
        <v/>
      </c>
      <c r="U92" s="204" t="str">
        <f t="shared" si="18"/>
        <v/>
      </c>
      <c r="V92" s="204" t="str">
        <f t="shared" si="19"/>
        <v/>
      </c>
      <c r="W92" s="204" t="str">
        <f t="shared" si="17"/>
        <v/>
      </c>
      <c r="X92" s="204" t="str">
        <f t="shared" si="11"/>
        <v/>
      </c>
      <c r="Y92" s="204" t="str">
        <f t="shared" si="11"/>
        <v/>
      </c>
      <c r="Z92" s="204" t="str">
        <f t="shared" si="11"/>
        <v/>
      </c>
      <c r="AA92" s="204" t="str">
        <f t="shared" si="11"/>
        <v/>
      </c>
      <c r="AB92" s="204" t="str">
        <f t="shared" si="20"/>
        <v/>
      </c>
      <c r="AC92" s="204" t="str">
        <f t="shared" si="20"/>
        <v/>
      </c>
    </row>
    <row r="93" spans="1:29" x14ac:dyDescent="0.3">
      <c r="A93" s="202">
        <v>41366</v>
      </c>
      <c r="B93" s="203">
        <f t="shared" si="12"/>
        <v>4</v>
      </c>
      <c r="C93" s="203">
        <f t="shared" si="13"/>
        <v>0</v>
      </c>
      <c r="D93" s="201">
        <f t="shared" si="14"/>
        <v>0</v>
      </c>
      <c r="E93" s="201">
        <f t="shared" si="15"/>
        <v>0</v>
      </c>
      <c r="F93" s="201">
        <f t="shared" si="16"/>
        <v>0</v>
      </c>
      <c r="G93" s="201">
        <f>SUM(D$2:D93)</f>
        <v>0</v>
      </c>
      <c r="H93" s="201">
        <f>SUM(E$2:E93)</f>
        <v>0</v>
      </c>
      <c r="I93" s="201">
        <f>SUM(F$2:F93)</f>
        <v>0</v>
      </c>
      <c r="J93" s="201">
        <f>Model!F$51</f>
        <v>23678.322499999998</v>
      </c>
      <c r="K93" s="201">
        <f>Model!G$51</f>
        <v>26052.648000000005</v>
      </c>
      <c r="L93" s="201">
        <f>Model!H$51</f>
        <v>27478.056499999995</v>
      </c>
      <c r="M93" s="201">
        <f>Model!I$51</f>
        <v>28903.236999999997</v>
      </c>
      <c r="N93" s="201">
        <f>Model!J$51</f>
        <v>29853.18</v>
      </c>
      <c r="O93" s="201">
        <f>Model!K$51</f>
        <v>0</v>
      </c>
      <c r="P93" s="201">
        <f>Model!L$51</f>
        <v>0</v>
      </c>
      <c r="Q93" s="201">
        <f>Model!M$51</f>
        <v>0</v>
      </c>
      <c r="R93" s="201">
        <f>Model!N$51</f>
        <v>0</v>
      </c>
      <c r="S93" s="201">
        <f>Model!R$51</f>
        <v>25000</v>
      </c>
      <c r="T93" s="204" t="str">
        <f t="shared" si="17"/>
        <v/>
      </c>
      <c r="U93" s="204" t="str">
        <f t="shared" si="18"/>
        <v/>
      </c>
      <c r="V93" s="204" t="str">
        <f t="shared" si="19"/>
        <v/>
      </c>
      <c r="W93" s="204" t="str">
        <f t="shared" si="17"/>
        <v/>
      </c>
      <c r="X93" s="204" t="str">
        <f t="shared" si="11"/>
        <v/>
      </c>
      <c r="Y93" s="204" t="str">
        <f t="shared" si="11"/>
        <v/>
      </c>
      <c r="Z93" s="204" t="str">
        <f t="shared" si="11"/>
        <v/>
      </c>
      <c r="AA93" s="204" t="str">
        <f t="shared" si="11"/>
        <v/>
      </c>
      <c r="AB93" s="204" t="str">
        <f t="shared" si="20"/>
        <v/>
      </c>
      <c r="AC93" s="204" t="str">
        <f t="shared" si="20"/>
        <v/>
      </c>
    </row>
    <row r="94" spans="1:29" x14ac:dyDescent="0.3">
      <c r="A94" s="202">
        <v>41367</v>
      </c>
      <c r="B94" s="203">
        <f t="shared" si="12"/>
        <v>4</v>
      </c>
      <c r="C94" s="203">
        <f t="shared" si="13"/>
        <v>0</v>
      </c>
      <c r="D94" s="201">
        <f t="shared" si="14"/>
        <v>0</v>
      </c>
      <c r="E94" s="201">
        <f t="shared" si="15"/>
        <v>0</v>
      </c>
      <c r="F94" s="201">
        <f t="shared" si="16"/>
        <v>0</v>
      </c>
      <c r="G94" s="201">
        <f>SUM(D$2:D94)</f>
        <v>0</v>
      </c>
      <c r="H94" s="201">
        <f>SUM(E$2:E94)</f>
        <v>0</v>
      </c>
      <c r="I94" s="201">
        <f>SUM(F$2:F94)</f>
        <v>0</v>
      </c>
      <c r="J94" s="201">
        <f>Model!F$51</f>
        <v>23678.322499999998</v>
      </c>
      <c r="K94" s="201">
        <f>Model!G$51</f>
        <v>26052.648000000005</v>
      </c>
      <c r="L94" s="201">
        <f>Model!H$51</f>
        <v>27478.056499999995</v>
      </c>
      <c r="M94" s="201">
        <f>Model!I$51</f>
        <v>28903.236999999997</v>
      </c>
      <c r="N94" s="201">
        <f>Model!J$51</f>
        <v>29853.18</v>
      </c>
      <c r="O94" s="201">
        <f>Model!K$51</f>
        <v>0</v>
      </c>
      <c r="P94" s="201">
        <f>Model!L$51</f>
        <v>0</v>
      </c>
      <c r="Q94" s="201">
        <f>Model!M$51</f>
        <v>0</v>
      </c>
      <c r="R94" s="201">
        <f>Model!N$51</f>
        <v>0</v>
      </c>
      <c r="S94" s="201">
        <f>Model!R$51</f>
        <v>25000</v>
      </c>
      <c r="T94" s="204" t="str">
        <f t="shared" si="17"/>
        <v/>
      </c>
      <c r="U94" s="204" t="str">
        <f t="shared" si="18"/>
        <v/>
      </c>
      <c r="V94" s="204" t="str">
        <f t="shared" si="19"/>
        <v/>
      </c>
      <c r="W94" s="204" t="str">
        <f t="shared" si="17"/>
        <v/>
      </c>
      <c r="X94" s="204" t="str">
        <f t="shared" si="11"/>
        <v/>
      </c>
      <c r="Y94" s="204" t="str">
        <f t="shared" si="11"/>
        <v/>
      </c>
      <c r="Z94" s="204" t="str">
        <f t="shared" si="11"/>
        <v/>
      </c>
      <c r="AA94" s="204" t="str">
        <f t="shared" si="11"/>
        <v/>
      </c>
      <c r="AB94" s="204" t="str">
        <f t="shared" si="20"/>
        <v/>
      </c>
      <c r="AC94" s="204" t="str">
        <f t="shared" si="20"/>
        <v/>
      </c>
    </row>
    <row r="95" spans="1:29" x14ac:dyDescent="0.3">
      <c r="A95" s="202">
        <v>41368</v>
      </c>
      <c r="B95" s="203">
        <f t="shared" si="12"/>
        <v>4</v>
      </c>
      <c r="C95" s="203">
        <f t="shared" si="13"/>
        <v>0</v>
      </c>
      <c r="D95" s="201">
        <f t="shared" si="14"/>
        <v>0</v>
      </c>
      <c r="E95" s="201">
        <f t="shared" si="15"/>
        <v>0</v>
      </c>
      <c r="F95" s="201">
        <f t="shared" si="16"/>
        <v>0</v>
      </c>
      <c r="G95" s="201">
        <f>SUM(D$2:D95)</f>
        <v>0</v>
      </c>
      <c r="H95" s="201">
        <f>SUM(E$2:E95)</f>
        <v>0</v>
      </c>
      <c r="I95" s="201">
        <f>SUM(F$2:F95)</f>
        <v>0</v>
      </c>
      <c r="J95" s="201">
        <f>Model!F$51</f>
        <v>23678.322499999998</v>
      </c>
      <c r="K95" s="201">
        <f>Model!G$51</f>
        <v>26052.648000000005</v>
      </c>
      <c r="L95" s="201">
        <f>Model!H$51</f>
        <v>27478.056499999995</v>
      </c>
      <c r="M95" s="201">
        <f>Model!I$51</f>
        <v>28903.236999999997</v>
      </c>
      <c r="N95" s="201">
        <f>Model!J$51</f>
        <v>29853.18</v>
      </c>
      <c r="O95" s="201">
        <f>Model!K$51</f>
        <v>0</v>
      </c>
      <c r="P95" s="201">
        <f>Model!L$51</f>
        <v>0</v>
      </c>
      <c r="Q95" s="201">
        <f>Model!M$51</f>
        <v>0</v>
      </c>
      <c r="R95" s="201">
        <f>Model!N$51</f>
        <v>0</v>
      </c>
      <c r="S95" s="201">
        <f>Model!R$51</f>
        <v>25000</v>
      </c>
      <c r="T95" s="204" t="str">
        <f t="shared" si="17"/>
        <v/>
      </c>
      <c r="U95" s="204" t="str">
        <f t="shared" si="18"/>
        <v/>
      </c>
      <c r="V95" s="204" t="str">
        <f t="shared" si="19"/>
        <v/>
      </c>
      <c r="W95" s="204" t="str">
        <f t="shared" si="17"/>
        <v/>
      </c>
      <c r="X95" s="204" t="str">
        <f t="shared" si="11"/>
        <v/>
      </c>
      <c r="Y95" s="204" t="str">
        <f t="shared" si="11"/>
        <v/>
      </c>
      <c r="Z95" s="204" t="str">
        <f t="shared" si="11"/>
        <v/>
      </c>
      <c r="AA95" s="204" t="str">
        <f t="shared" si="11"/>
        <v/>
      </c>
      <c r="AB95" s="204" t="str">
        <f t="shared" si="20"/>
        <v/>
      </c>
      <c r="AC95" s="204" t="str">
        <f t="shared" si="20"/>
        <v/>
      </c>
    </row>
    <row r="96" spans="1:29" x14ac:dyDescent="0.3">
      <c r="A96" s="202">
        <v>41369</v>
      </c>
      <c r="B96" s="203">
        <f t="shared" si="12"/>
        <v>4</v>
      </c>
      <c r="C96" s="203">
        <f t="shared" si="13"/>
        <v>0</v>
      </c>
      <c r="D96" s="201">
        <f t="shared" si="14"/>
        <v>0</v>
      </c>
      <c r="E96" s="201">
        <f t="shared" si="15"/>
        <v>0</v>
      </c>
      <c r="F96" s="201">
        <f t="shared" si="16"/>
        <v>0</v>
      </c>
      <c r="G96" s="201">
        <f>SUM(D$2:D96)</f>
        <v>0</v>
      </c>
      <c r="H96" s="201">
        <f>SUM(E$2:E96)</f>
        <v>0</v>
      </c>
      <c r="I96" s="201">
        <f>SUM(F$2:F96)</f>
        <v>0</v>
      </c>
      <c r="J96" s="201">
        <f>Model!F$51</f>
        <v>23678.322499999998</v>
      </c>
      <c r="K96" s="201">
        <f>Model!G$51</f>
        <v>26052.648000000005</v>
      </c>
      <c r="L96" s="201">
        <f>Model!H$51</f>
        <v>27478.056499999995</v>
      </c>
      <c r="M96" s="201">
        <f>Model!I$51</f>
        <v>28903.236999999997</v>
      </c>
      <c r="N96" s="201">
        <f>Model!J$51</f>
        <v>29853.18</v>
      </c>
      <c r="O96" s="201">
        <f>Model!K$51</f>
        <v>0</v>
      </c>
      <c r="P96" s="201">
        <f>Model!L$51</f>
        <v>0</v>
      </c>
      <c r="Q96" s="201">
        <f>Model!M$51</f>
        <v>0</v>
      </c>
      <c r="R96" s="201">
        <f>Model!N$51</f>
        <v>0</v>
      </c>
      <c r="S96" s="201">
        <f>Model!R$51</f>
        <v>25000</v>
      </c>
      <c r="T96" s="204" t="str">
        <f t="shared" si="17"/>
        <v/>
      </c>
      <c r="U96" s="204" t="str">
        <f t="shared" si="18"/>
        <v/>
      </c>
      <c r="V96" s="204" t="str">
        <f t="shared" si="19"/>
        <v/>
      </c>
      <c r="W96" s="204" t="str">
        <f t="shared" si="17"/>
        <v/>
      </c>
      <c r="X96" s="204" t="str">
        <f t="shared" si="11"/>
        <v/>
      </c>
      <c r="Y96" s="204" t="str">
        <f t="shared" si="11"/>
        <v/>
      </c>
      <c r="Z96" s="204" t="str">
        <f t="shared" si="11"/>
        <v/>
      </c>
      <c r="AA96" s="204" t="str">
        <f t="shared" si="11"/>
        <v/>
      </c>
      <c r="AB96" s="204" t="str">
        <f t="shared" si="20"/>
        <v/>
      </c>
      <c r="AC96" s="204" t="str">
        <f t="shared" si="20"/>
        <v/>
      </c>
    </row>
    <row r="97" spans="1:29" x14ac:dyDescent="0.3">
      <c r="A97" s="202">
        <v>41370</v>
      </c>
      <c r="B97" s="203">
        <f t="shared" si="12"/>
        <v>4</v>
      </c>
      <c r="C97" s="203">
        <f t="shared" si="13"/>
        <v>0</v>
      </c>
      <c r="D97" s="201">
        <f t="shared" si="14"/>
        <v>0</v>
      </c>
      <c r="E97" s="201">
        <f t="shared" si="15"/>
        <v>0</v>
      </c>
      <c r="F97" s="201">
        <f t="shared" si="16"/>
        <v>0</v>
      </c>
      <c r="G97" s="201">
        <f>SUM(D$2:D97)</f>
        <v>0</v>
      </c>
      <c r="H97" s="201">
        <f>SUM(E$2:E97)</f>
        <v>0</v>
      </c>
      <c r="I97" s="201">
        <f>SUM(F$2:F97)</f>
        <v>0</v>
      </c>
      <c r="J97" s="201">
        <f>Model!F$51</f>
        <v>23678.322499999998</v>
      </c>
      <c r="K97" s="201">
        <f>Model!G$51</f>
        <v>26052.648000000005</v>
      </c>
      <c r="L97" s="201">
        <f>Model!H$51</f>
        <v>27478.056499999995</v>
      </c>
      <c r="M97" s="201">
        <f>Model!I$51</f>
        <v>28903.236999999997</v>
      </c>
      <c r="N97" s="201">
        <f>Model!J$51</f>
        <v>29853.18</v>
      </c>
      <c r="O97" s="201">
        <f>Model!K$51</f>
        <v>0</v>
      </c>
      <c r="P97" s="201">
        <f>Model!L$51</f>
        <v>0</v>
      </c>
      <c r="Q97" s="201">
        <f>Model!M$51</f>
        <v>0</v>
      </c>
      <c r="R97" s="201">
        <f>Model!N$51</f>
        <v>0</v>
      </c>
      <c r="S97" s="201">
        <f>Model!R$51</f>
        <v>25000</v>
      </c>
      <c r="T97" s="204" t="str">
        <f t="shared" si="17"/>
        <v/>
      </c>
      <c r="U97" s="204" t="str">
        <f t="shared" si="18"/>
        <v/>
      </c>
      <c r="V97" s="204" t="str">
        <f t="shared" si="19"/>
        <v/>
      </c>
      <c r="W97" s="204" t="str">
        <f t="shared" si="17"/>
        <v/>
      </c>
      <c r="X97" s="204" t="str">
        <f t="shared" si="11"/>
        <v/>
      </c>
      <c r="Y97" s="204" t="str">
        <f t="shared" si="11"/>
        <v/>
      </c>
      <c r="Z97" s="204" t="str">
        <f t="shared" si="11"/>
        <v/>
      </c>
      <c r="AA97" s="204" t="str">
        <f t="shared" si="11"/>
        <v/>
      </c>
      <c r="AB97" s="204" t="str">
        <f t="shared" si="20"/>
        <v/>
      </c>
      <c r="AC97" s="204" t="str">
        <f t="shared" si="20"/>
        <v/>
      </c>
    </row>
    <row r="98" spans="1:29" x14ac:dyDescent="0.3">
      <c r="A98" s="202">
        <v>41371</v>
      </c>
      <c r="B98" s="203">
        <f t="shared" si="12"/>
        <v>4</v>
      </c>
      <c r="C98" s="203">
        <f t="shared" si="13"/>
        <v>0</v>
      </c>
      <c r="D98" s="201">
        <f t="shared" si="14"/>
        <v>0</v>
      </c>
      <c r="E98" s="201">
        <f t="shared" si="15"/>
        <v>0</v>
      </c>
      <c r="F98" s="201">
        <f t="shared" si="16"/>
        <v>0</v>
      </c>
      <c r="G98" s="201">
        <f>SUM(D$2:D98)</f>
        <v>0</v>
      </c>
      <c r="H98" s="201">
        <f>SUM(E$2:E98)</f>
        <v>0</v>
      </c>
      <c r="I98" s="201">
        <f>SUM(F$2:F98)</f>
        <v>0</v>
      </c>
      <c r="J98" s="201">
        <f>Model!F$51</f>
        <v>23678.322499999998</v>
      </c>
      <c r="K98" s="201">
        <f>Model!G$51</f>
        <v>26052.648000000005</v>
      </c>
      <c r="L98" s="201">
        <f>Model!H$51</f>
        <v>27478.056499999995</v>
      </c>
      <c r="M98" s="201">
        <f>Model!I$51</f>
        <v>28903.236999999997</v>
      </c>
      <c r="N98" s="201">
        <f>Model!J$51</f>
        <v>29853.18</v>
      </c>
      <c r="O98" s="201">
        <f>Model!K$51</f>
        <v>0</v>
      </c>
      <c r="P98" s="201">
        <f>Model!L$51</f>
        <v>0</v>
      </c>
      <c r="Q98" s="201">
        <f>Model!M$51</f>
        <v>0</v>
      </c>
      <c r="R98" s="201">
        <f>Model!N$51</f>
        <v>0</v>
      </c>
      <c r="S98" s="201">
        <f>Model!R$51</f>
        <v>25000</v>
      </c>
      <c r="T98" s="204" t="str">
        <f t="shared" si="17"/>
        <v/>
      </c>
      <c r="U98" s="204" t="str">
        <f t="shared" si="18"/>
        <v/>
      </c>
      <c r="V98" s="204" t="str">
        <f t="shared" si="19"/>
        <v/>
      </c>
      <c r="W98" s="204" t="str">
        <f t="shared" si="17"/>
        <v/>
      </c>
      <c r="X98" s="204" t="str">
        <f t="shared" si="11"/>
        <v/>
      </c>
      <c r="Y98" s="204" t="str">
        <f t="shared" si="11"/>
        <v/>
      </c>
      <c r="Z98" s="204" t="str">
        <f t="shared" si="11"/>
        <v/>
      </c>
      <c r="AA98" s="204" t="str">
        <f t="shared" si="11"/>
        <v/>
      </c>
      <c r="AB98" s="204" t="str">
        <f t="shared" si="20"/>
        <v/>
      </c>
      <c r="AC98" s="204" t="str">
        <f t="shared" si="20"/>
        <v/>
      </c>
    </row>
    <row r="99" spans="1:29" x14ac:dyDescent="0.3">
      <c r="A99" s="202">
        <v>41372</v>
      </c>
      <c r="B99" s="203">
        <f t="shared" si="12"/>
        <v>4</v>
      </c>
      <c r="C99" s="203">
        <f t="shared" si="13"/>
        <v>0</v>
      </c>
      <c r="D99" s="201">
        <f t="shared" si="14"/>
        <v>0</v>
      </c>
      <c r="E99" s="201">
        <f t="shared" si="15"/>
        <v>0</v>
      </c>
      <c r="F99" s="201">
        <f t="shared" si="16"/>
        <v>0</v>
      </c>
      <c r="G99" s="201">
        <f>SUM(D$2:D99)</f>
        <v>0</v>
      </c>
      <c r="H99" s="201">
        <f>SUM(E$2:E99)</f>
        <v>0</v>
      </c>
      <c r="I99" s="201">
        <f>SUM(F$2:F99)</f>
        <v>0</v>
      </c>
      <c r="J99" s="201">
        <f>Model!F$51</f>
        <v>23678.322499999998</v>
      </c>
      <c r="K99" s="201">
        <f>Model!G$51</f>
        <v>26052.648000000005</v>
      </c>
      <c r="L99" s="201">
        <f>Model!H$51</f>
        <v>27478.056499999995</v>
      </c>
      <c r="M99" s="201">
        <f>Model!I$51</f>
        <v>28903.236999999997</v>
      </c>
      <c r="N99" s="201">
        <f>Model!J$51</f>
        <v>29853.18</v>
      </c>
      <c r="O99" s="201">
        <f>Model!K$51</f>
        <v>0</v>
      </c>
      <c r="P99" s="201">
        <f>Model!L$51</f>
        <v>0</v>
      </c>
      <c r="Q99" s="201">
        <f>Model!M$51</f>
        <v>0</v>
      </c>
      <c r="R99" s="201">
        <f>Model!N$51</f>
        <v>0</v>
      </c>
      <c r="S99" s="201">
        <f>Model!R$51</f>
        <v>25000</v>
      </c>
      <c r="T99" s="204" t="str">
        <f t="shared" si="17"/>
        <v/>
      </c>
      <c r="U99" s="204" t="str">
        <f t="shared" si="18"/>
        <v/>
      </c>
      <c r="V99" s="204" t="str">
        <f t="shared" si="19"/>
        <v/>
      </c>
      <c r="W99" s="204" t="str">
        <f t="shared" si="17"/>
        <v/>
      </c>
      <c r="X99" s="204" t="str">
        <f t="shared" si="11"/>
        <v/>
      </c>
      <c r="Y99" s="204" t="str">
        <f t="shared" si="11"/>
        <v/>
      </c>
      <c r="Z99" s="204" t="str">
        <f t="shared" si="11"/>
        <v/>
      </c>
      <c r="AA99" s="204" t="str">
        <f t="shared" si="11"/>
        <v/>
      </c>
      <c r="AB99" s="204" t="str">
        <f t="shared" si="20"/>
        <v/>
      </c>
      <c r="AC99" s="204" t="str">
        <f t="shared" si="20"/>
        <v/>
      </c>
    </row>
    <row r="100" spans="1:29" x14ac:dyDescent="0.3">
      <c r="A100" s="202">
        <v>41373</v>
      </c>
      <c r="B100" s="203">
        <f t="shared" si="12"/>
        <v>4</v>
      </c>
      <c r="C100" s="203">
        <f t="shared" si="13"/>
        <v>0</v>
      </c>
      <c r="D100" s="201">
        <f t="shared" si="14"/>
        <v>0</v>
      </c>
      <c r="E100" s="201">
        <f t="shared" si="15"/>
        <v>0</v>
      </c>
      <c r="F100" s="201">
        <f t="shared" si="16"/>
        <v>0</v>
      </c>
      <c r="G100" s="201">
        <f>SUM(D$2:D100)</f>
        <v>0</v>
      </c>
      <c r="H100" s="201">
        <f>SUM(E$2:E100)</f>
        <v>0</v>
      </c>
      <c r="I100" s="201">
        <f>SUM(F$2:F100)</f>
        <v>0</v>
      </c>
      <c r="J100" s="201">
        <f>Model!F$51</f>
        <v>23678.322499999998</v>
      </c>
      <c r="K100" s="201">
        <f>Model!G$51</f>
        <v>26052.648000000005</v>
      </c>
      <c r="L100" s="201">
        <f>Model!H$51</f>
        <v>27478.056499999995</v>
      </c>
      <c r="M100" s="201">
        <f>Model!I$51</f>
        <v>28903.236999999997</v>
      </c>
      <c r="N100" s="201">
        <f>Model!J$51</f>
        <v>29853.18</v>
      </c>
      <c r="O100" s="201">
        <f>Model!K$51</f>
        <v>0</v>
      </c>
      <c r="P100" s="201">
        <f>Model!L$51</f>
        <v>0</v>
      </c>
      <c r="Q100" s="201">
        <f>Model!M$51</f>
        <v>0</v>
      </c>
      <c r="R100" s="201">
        <f>Model!N$51</f>
        <v>0</v>
      </c>
      <c r="S100" s="201">
        <f>Model!R$51</f>
        <v>25000</v>
      </c>
      <c r="T100" s="204" t="str">
        <f t="shared" si="17"/>
        <v/>
      </c>
      <c r="U100" s="204" t="str">
        <f t="shared" si="18"/>
        <v/>
      </c>
      <c r="V100" s="204" t="str">
        <f t="shared" si="19"/>
        <v/>
      </c>
      <c r="W100" s="204" t="str">
        <f t="shared" si="17"/>
        <v/>
      </c>
      <c r="X100" s="204" t="str">
        <f t="shared" si="11"/>
        <v/>
      </c>
      <c r="Y100" s="204" t="str">
        <f t="shared" si="11"/>
        <v/>
      </c>
      <c r="Z100" s="204" t="str">
        <f t="shared" si="11"/>
        <v/>
      </c>
      <c r="AA100" s="204" t="str">
        <f t="shared" si="11"/>
        <v/>
      </c>
      <c r="AB100" s="204" t="str">
        <f t="shared" si="20"/>
        <v/>
      </c>
      <c r="AC100" s="204" t="str">
        <f t="shared" si="20"/>
        <v/>
      </c>
    </row>
    <row r="101" spans="1:29" x14ac:dyDescent="0.3">
      <c r="A101" s="202">
        <v>41374</v>
      </c>
      <c r="B101" s="203">
        <f t="shared" si="12"/>
        <v>4</v>
      </c>
      <c r="C101" s="203">
        <f t="shared" si="13"/>
        <v>0</v>
      </c>
      <c r="D101" s="201">
        <f t="shared" si="14"/>
        <v>0</v>
      </c>
      <c r="E101" s="201">
        <f t="shared" si="15"/>
        <v>0</v>
      </c>
      <c r="F101" s="201">
        <f t="shared" si="16"/>
        <v>0</v>
      </c>
      <c r="G101" s="201">
        <f>SUM(D$2:D101)</f>
        <v>0</v>
      </c>
      <c r="H101" s="201">
        <f>SUM(E$2:E101)</f>
        <v>0</v>
      </c>
      <c r="I101" s="201">
        <f>SUM(F$2:F101)</f>
        <v>0</v>
      </c>
      <c r="J101" s="201">
        <f>Model!F$51</f>
        <v>23678.322499999998</v>
      </c>
      <c r="K101" s="201">
        <f>Model!G$51</f>
        <v>26052.648000000005</v>
      </c>
      <c r="L101" s="201">
        <f>Model!H$51</f>
        <v>27478.056499999995</v>
      </c>
      <c r="M101" s="201">
        <f>Model!I$51</f>
        <v>28903.236999999997</v>
      </c>
      <c r="N101" s="201">
        <f>Model!J$51</f>
        <v>29853.18</v>
      </c>
      <c r="O101" s="201">
        <f>Model!K$51</f>
        <v>0</v>
      </c>
      <c r="P101" s="201">
        <f>Model!L$51</f>
        <v>0</v>
      </c>
      <c r="Q101" s="201">
        <f>Model!M$51</f>
        <v>0</v>
      </c>
      <c r="R101" s="201">
        <f>Model!N$51</f>
        <v>0</v>
      </c>
      <c r="S101" s="201">
        <f>Model!R$51</f>
        <v>25000</v>
      </c>
      <c r="T101" s="204" t="str">
        <f t="shared" si="17"/>
        <v/>
      </c>
      <c r="U101" s="204" t="str">
        <f t="shared" si="18"/>
        <v/>
      </c>
      <c r="V101" s="204" t="str">
        <f t="shared" si="19"/>
        <v/>
      </c>
      <c r="W101" s="204" t="str">
        <f t="shared" si="17"/>
        <v/>
      </c>
      <c r="X101" s="204" t="str">
        <f t="shared" si="11"/>
        <v/>
      </c>
      <c r="Y101" s="204" t="str">
        <f t="shared" si="11"/>
        <v/>
      </c>
      <c r="Z101" s="204" t="str">
        <f t="shared" si="11"/>
        <v/>
      </c>
      <c r="AA101" s="204" t="str">
        <f t="shared" si="11"/>
        <v/>
      </c>
      <c r="AB101" s="204" t="str">
        <f t="shared" si="20"/>
        <v/>
      </c>
      <c r="AC101" s="204" t="str">
        <f t="shared" si="20"/>
        <v/>
      </c>
    </row>
    <row r="102" spans="1:29" x14ac:dyDescent="0.3">
      <c r="A102" s="202">
        <v>41375</v>
      </c>
      <c r="B102" s="203">
        <f t="shared" si="12"/>
        <v>4</v>
      </c>
      <c r="C102" s="203">
        <f t="shared" si="13"/>
        <v>0</v>
      </c>
      <c r="D102" s="201">
        <f t="shared" si="14"/>
        <v>0</v>
      </c>
      <c r="E102" s="201">
        <f t="shared" si="15"/>
        <v>0</v>
      </c>
      <c r="F102" s="201">
        <f t="shared" si="16"/>
        <v>0</v>
      </c>
      <c r="G102" s="201">
        <f>SUM(D$2:D102)</f>
        <v>0</v>
      </c>
      <c r="H102" s="201">
        <f>SUM(E$2:E102)</f>
        <v>0</v>
      </c>
      <c r="I102" s="201">
        <f>SUM(F$2:F102)</f>
        <v>0</v>
      </c>
      <c r="J102" s="201">
        <f>Model!F$51</f>
        <v>23678.322499999998</v>
      </c>
      <c r="K102" s="201">
        <f>Model!G$51</f>
        <v>26052.648000000005</v>
      </c>
      <c r="L102" s="201">
        <f>Model!H$51</f>
        <v>27478.056499999995</v>
      </c>
      <c r="M102" s="201">
        <f>Model!I$51</f>
        <v>28903.236999999997</v>
      </c>
      <c r="N102" s="201">
        <f>Model!J$51</f>
        <v>29853.18</v>
      </c>
      <c r="O102" s="201">
        <f>Model!K$51</f>
        <v>0</v>
      </c>
      <c r="P102" s="201">
        <f>Model!L$51</f>
        <v>0</v>
      </c>
      <c r="Q102" s="201">
        <f>Model!M$51</f>
        <v>0</v>
      </c>
      <c r="R102" s="201">
        <f>Model!N$51</f>
        <v>0</v>
      </c>
      <c r="S102" s="201">
        <f>Model!R$51</f>
        <v>25000</v>
      </c>
      <c r="T102" s="204" t="str">
        <f t="shared" si="17"/>
        <v/>
      </c>
      <c r="U102" s="204" t="str">
        <f t="shared" si="18"/>
        <v/>
      </c>
      <c r="V102" s="204" t="str">
        <f t="shared" si="19"/>
        <v/>
      </c>
      <c r="W102" s="204" t="str">
        <f t="shared" si="17"/>
        <v/>
      </c>
      <c r="X102" s="204" t="str">
        <f t="shared" si="11"/>
        <v/>
      </c>
      <c r="Y102" s="204" t="str">
        <f t="shared" si="11"/>
        <v/>
      </c>
      <c r="Z102" s="204" t="str">
        <f t="shared" si="11"/>
        <v/>
      </c>
      <c r="AA102" s="204" t="str">
        <f t="shared" si="11"/>
        <v/>
      </c>
      <c r="AB102" s="204" t="str">
        <f t="shared" si="20"/>
        <v/>
      </c>
      <c r="AC102" s="204" t="str">
        <f t="shared" si="20"/>
        <v/>
      </c>
    </row>
    <row r="103" spans="1:29" x14ac:dyDescent="0.3">
      <c r="A103" s="202">
        <v>41376</v>
      </c>
      <c r="B103" s="203">
        <f t="shared" si="12"/>
        <v>4</v>
      </c>
      <c r="C103" s="203">
        <f t="shared" si="13"/>
        <v>0</v>
      </c>
      <c r="D103" s="201">
        <f t="shared" si="14"/>
        <v>0</v>
      </c>
      <c r="E103" s="201">
        <f t="shared" si="15"/>
        <v>0</v>
      </c>
      <c r="F103" s="201">
        <f t="shared" si="16"/>
        <v>0</v>
      </c>
      <c r="G103" s="201">
        <f>SUM(D$2:D103)</f>
        <v>0</v>
      </c>
      <c r="H103" s="201">
        <f>SUM(E$2:E103)</f>
        <v>0</v>
      </c>
      <c r="I103" s="201">
        <f>SUM(F$2:F103)</f>
        <v>0</v>
      </c>
      <c r="J103" s="201">
        <f>Model!F$51</f>
        <v>23678.322499999998</v>
      </c>
      <c r="K103" s="201">
        <f>Model!G$51</f>
        <v>26052.648000000005</v>
      </c>
      <c r="L103" s="201">
        <f>Model!H$51</f>
        <v>27478.056499999995</v>
      </c>
      <c r="M103" s="201">
        <f>Model!I$51</f>
        <v>28903.236999999997</v>
      </c>
      <c r="N103" s="201">
        <f>Model!J$51</f>
        <v>29853.18</v>
      </c>
      <c r="O103" s="201">
        <f>Model!K$51</f>
        <v>0</v>
      </c>
      <c r="P103" s="201">
        <f>Model!L$51</f>
        <v>0</v>
      </c>
      <c r="Q103" s="201">
        <f>Model!M$51</f>
        <v>0</v>
      </c>
      <c r="R103" s="201">
        <f>Model!N$51</f>
        <v>0</v>
      </c>
      <c r="S103" s="201">
        <f>Model!R$51</f>
        <v>25000</v>
      </c>
      <c r="T103" s="204" t="str">
        <f t="shared" si="17"/>
        <v/>
      </c>
      <c r="U103" s="204" t="str">
        <f t="shared" si="18"/>
        <v/>
      </c>
      <c r="V103" s="204" t="str">
        <f t="shared" si="19"/>
        <v/>
      </c>
      <c r="W103" s="204" t="str">
        <f t="shared" si="17"/>
        <v/>
      </c>
      <c r="X103" s="204" t="str">
        <f t="shared" si="11"/>
        <v/>
      </c>
      <c r="Y103" s="204" t="str">
        <f t="shared" si="11"/>
        <v/>
      </c>
      <c r="Z103" s="204" t="str">
        <f t="shared" si="11"/>
        <v/>
      </c>
      <c r="AA103" s="204" t="str">
        <f t="shared" si="11"/>
        <v/>
      </c>
      <c r="AB103" s="204" t="str">
        <f t="shared" si="20"/>
        <v/>
      </c>
      <c r="AC103" s="204" t="str">
        <f t="shared" si="20"/>
        <v/>
      </c>
    </row>
    <row r="104" spans="1:29" x14ac:dyDescent="0.3">
      <c r="A104" s="202">
        <v>41377</v>
      </c>
      <c r="B104" s="203">
        <f t="shared" si="12"/>
        <v>4</v>
      </c>
      <c r="C104" s="203">
        <f t="shared" si="13"/>
        <v>0</v>
      </c>
      <c r="D104" s="201">
        <f t="shared" si="14"/>
        <v>0</v>
      </c>
      <c r="E104" s="201">
        <f t="shared" si="15"/>
        <v>0</v>
      </c>
      <c r="F104" s="201">
        <f t="shared" si="16"/>
        <v>0</v>
      </c>
      <c r="G104" s="201">
        <f>SUM(D$2:D104)</f>
        <v>0</v>
      </c>
      <c r="H104" s="201">
        <f>SUM(E$2:E104)</f>
        <v>0</v>
      </c>
      <c r="I104" s="201">
        <f>SUM(F$2:F104)</f>
        <v>0</v>
      </c>
      <c r="J104" s="201">
        <f>Model!F$51</f>
        <v>23678.322499999998</v>
      </c>
      <c r="K104" s="201">
        <f>Model!G$51</f>
        <v>26052.648000000005</v>
      </c>
      <c r="L104" s="201">
        <f>Model!H$51</f>
        <v>27478.056499999995</v>
      </c>
      <c r="M104" s="201">
        <f>Model!I$51</f>
        <v>28903.236999999997</v>
      </c>
      <c r="N104" s="201">
        <f>Model!J$51</f>
        <v>29853.18</v>
      </c>
      <c r="O104" s="201">
        <f>Model!K$51</f>
        <v>0</v>
      </c>
      <c r="P104" s="201">
        <f>Model!L$51</f>
        <v>0</v>
      </c>
      <c r="Q104" s="201">
        <f>Model!M$51</f>
        <v>0</v>
      </c>
      <c r="R104" s="201">
        <f>Model!N$51</f>
        <v>0</v>
      </c>
      <c r="S104" s="201">
        <f>Model!R$51</f>
        <v>25000</v>
      </c>
      <c r="T104" s="204" t="str">
        <f t="shared" si="17"/>
        <v/>
      </c>
      <c r="U104" s="204" t="str">
        <f t="shared" si="18"/>
        <v/>
      </c>
      <c r="V104" s="204" t="str">
        <f t="shared" si="19"/>
        <v/>
      </c>
      <c r="W104" s="204" t="str">
        <f t="shared" si="17"/>
        <v/>
      </c>
      <c r="X104" s="204" t="str">
        <f t="shared" si="11"/>
        <v/>
      </c>
      <c r="Y104" s="204" t="str">
        <f t="shared" si="11"/>
        <v/>
      </c>
      <c r="Z104" s="204" t="str">
        <f t="shared" si="11"/>
        <v/>
      </c>
      <c r="AA104" s="204" t="str">
        <f t="shared" si="11"/>
        <v/>
      </c>
      <c r="AB104" s="204" t="str">
        <f t="shared" si="20"/>
        <v/>
      </c>
      <c r="AC104" s="204" t="str">
        <f t="shared" si="20"/>
        <v/>
      </c>
    </row>
    <row r="105" spans="1:29" x14ac:dyDescent="0.3">
      <c r="A105" s="202">
        <v>41378</v>
      </c>
      <c r="B105" s="203">
        <f t="shared" si="12"/>
        <v>4</v>
      </c>
      <c r="C105" s="203">
        <f t="shared" si="13"/>
        <v>0</v>
      </c>
      <c r="D105" s="201">
        <f t="shared" si="14"/>
        <v>0</v>
      </c>
      <c r="E105" s="201">
        <f t="shared" si="15"/>
        <v>0</v>
      </c>
      <c r="F105" s="201">
        <f t="shared" si="16"/>
        <v>0</v>
      </c>
      <c r="G105" s="201">
        <f>SUM(D$2:D105)</f>
        <v>0</v>
      </c>
      <c r="H105" s="201">
        <f>SUM(E$2:E105)</f>
        <v>0</v>
      </c>
      <c r="I105" s="201">
        <f>SUM(F$2:F105)</f>
        <v>0</v>
      </c>
      <c r="J105" s="201">
        <f>Model!F$51</f>
        <v>23678.322499999998</v>
      </c>
      <c r="K105" s="201">
        <f>Model!G$51</f>
        <v>26052.648000000005</v>
      </c>
      <c r="L105" s="201">
        <f>Model!H$51</f>
        <v>27478.056499999995</v>
      </c>
      <c r="M105" s="201">
        <f>Model!I$51</f>
        <v>28903.236999999997</v>
      </c>
      <c r="N105" s="201">
        <f>Model!J$51</f>
        <v>29853.18</v>
      </c>
      <c r="O105" s="201">
        <f>Model!K$51</f>
        <v>0</v>
      </c>
      <c r="P105" s="201">
        <f>Model!L$51</f>
        <v>0</v>
      </c>
      <c r="Q105" s="201">
        <f>Model!M$51</f>
        <v>0</v>
      </c>
      <c r="R105" s="201">
        <f>Model!N$51</f>
        <v>0</v>
      </c>
      <c r="S105" s="201">
        <f>Model!R$51</f>
        <v>25000</v>
      </c>
      <c r="T105" s="204" t="str">
        <f t="shared" si="17"/>
        <v/>
      </c>
      <c r="U105" s="204" t="str">
        <f t="shared" si="18"/>
        <v/>
      </c>
      <c r="V105" s="204" t="str">
        <f t="shared" si="19"/>
        <v/>
      </c>
      <c r="W105" s="204" t="str">
        <f t="shared" si="17"/>
        <v/>
      </c>
      <c r="X105" s="204" t="str">
        <f t="shared" si="11"/>
        <v/>
      </c>
      <c r="Y105" s="204" t="str">
        <f t="shared" si="11"/>
        <v/>
      </c>
      <c r="Z105" s="204" t="str">
        <f t="shared" si="11"/>
        <v/>
      </c>
      <c r="AA105" s="204" t="str">
        <f t="shared" si="11"/>
        <v/>
      </c>
      <c r="AB105" s="204" t="str">
        <f t="shared" si="20"/>
        <v/>
      </c>
      <c r="AC105" s="204" t="str">
        <f t="shared" si="20"/>
        <v/>
      </c>
    </row>
    <row r="106" spans="1:29" x14ac:dyDescent="0.3">
      <c r="A106" s="202">
        <v>41379</v>
      </c>
      <c r="B106" s="203">
        <f t="shared" si="12"/>
        <v>4</v>
      </c>
      <c r="C106" s="203">
        <f t="shared" si="13"/>
        <v>0</v>
      </c>
      <c r="D106" s="201">
        <f t="shared" si="14"/>
        <v>0</v>
      </c>
      <c r="E106" s="201">
        <f t="shared" si="15"/>
        <v>0</v>
      </c>
      <c r="F106" s="201">
        <f t="shared" si="16"/>
        <v>0</v>
      </c>
      <c r="G106" s="201">
        <f>SUM(D$2:D106)</f>
        <v>0</v>
      </c>
      <c r="H106" s="201">
        <f>SUM(E$2:E106)</f>
        <v>0</v>
      </c>
      <c r="I106" s="201">
        <f>SUM(F$2:F106)</f>
        <v>0</v>
      </c>
      <c r="J106" s="201">
        <f>Model!F$51</f>
        <v>23678.322499999998</v>
      </c>
      <c r="K106" s="201">
        <f>Model!G$51</f>
        <v>26052.648000000005</v>
      </c>
      <c r="L106" s="201">
        <f>Model!H$51</f>
        <v>27478.056499999995</v>
      </c>
      <c r="M106" s="201">
        <f>Model!I$51</f>
        <v>28903.236999999997</v>
      </c>
      <c r="N106" s="201">
        <f>Model!J$51</f>
        <v>29853.18</v>
      </c>
      <c r="O106" s="201">
        <f>Model!K$51</f>
        <v>0</v>
      </c>
      <c r="P106" s="201">
        <f>Model!L$51</f>
        <v>0</v>
      </c>
      <c r="Q106" s="201">
        <f>Model!M$51</f>
        <v>0</v>
      </c>
      <c r="R106" s="201">
        <f>Model!N$51</f>
        <v>0</v>
      </c>
      <c r="S106" s="201">
        <f>Model!R$51</f>
        <v>25000</v>
      </c>
      <c r="T106" s="204" t="str">
        <f t="shared" si="17"/>
        <v/>
      </c>
      <c r="U106" s="204" t="str">
        <f t="shared" si="18"/>
        <v/>
      </c>
      <c r="V106" s="204" t="str">
        <f t="shared" si="19"/>
        <v/>
      </c>
      <c r="W106" s="204" t="str">
        <f t="shared" si="17"/>
        <v/>
      </c>
      <c r="X106" s="204" t="str">
        <f t="shared" si="11"/>
        <v/>
      </c>
      <c r="Y106" s="204" t="str">
        <f t="shared" si="11"/>
        <v/>
      </c>
      <c r="Z106" s="204" t="str">
        <f t="shared" si="11"/>
        <v/>
      </c>
      <c r="AA106" s="204" t="str">
        <f t="shared" si="11"/>
        <v/>
      </c>
      <c r="AB106" s="204" t="str">
        <f t="shared" si="20"/>
        <v/>
      </c>
      <c r="AC106" s="204" t="str">
        <f t="shared" si="20"/>
        <v/>
      </c>
    </row>
    <row r="107" spans="1:29" x14ac:dyDescent="0.3">
      <c r="A107" s="202">
        <v>41380</v>
      </c>
      <c r="B107" s="203">
        <f t="shared" si="12"/>
        <v>4</v>
      </c>
      <c r="C107" s="203">
        <f t="shared" si="13"/>
        <v>0</v>
      </c>
      <c r="D107" s="201">
        <f t="shared" si="14"/>
        <v>0</v>
      </c>
      <c r="E107" s="201">
        <f t="shared" si="15"/>
        <v>0</v>
      </c>
      <c r="F107" s="201">
        <f t="shared" si="16"/>
        <v>0</v>
      </c>
      <c r="G107" s="201">
        <f>SUM(D$2:D107)</f>
        <v>0</v>
      </c>
      <c r="H107" s="201">
        <f>SUM(E$2:E107)</f>
        <v>0</v>
      </c>
      <c r="I107" s="201">
        <f>SUM(F$2:F107)</f>
        <v>0</v>
      </c>
      <c r="J107" s="201">
        <f>Model!F$51</f>
        <v>23678.322499999998</v>
      </c>
      <c r="K107" s="201">
        <f>Model!G$51</f>
        <v>26052.648000000005</v>
      </c>
      <c r="L107" s="201">
        <f>Model!H$51</f>
        <v>27478.056499999995</v>
      </c>
      <c r="M107" s="201">
        <f>Model!I$51</f>
        <v>28903.236999999997</v>
      </c>
      <c r="N107" s="201">
        <f>Model!J$51</f>
        <v>29853.18</v>
      </c>
      <c r="O107" s="201">
        <f>Model!K$51</f>
        <v>0</v>
      </c>
      <c r="P107" s="201">
        <f>Model!L$51</f>
        <v>0</v>
      </c>
      <c r="Q107" s="201">
        <f>Model!M$51</f>
        <v>0</v>
      </c>
      <c r="R107" s="201">
        <f>Model!N$51</f>
        <v>0</v>
      </c>
      <c r="S107" s="201">
        <f>Model!R$51</f>
        <v>25000</v>
      </c>
      <c r="T107" s="204" t="str">
        <f t="shared" si="17"/>
        <v/>
      </c>
      <c r="U107" s="204" t="str">
        <f t="shared" si="18"/>
        <v/>
      </c>
      <c r="V107" s="204" t="str">
        <f t="shared" si="19"/>
        <v/>
      </c>
      <c r="W107" s="204" t="str">
        <f t="shared" si="17"/>
        <v/>
      </c>
      <c r="X107" s="204" t="str">
        <f t="shared" si="11"/>
        <v/>
      </c>
      <c r="Y107" s="204" t="str">
        <f t="shared" si="11"/>
        <v/>
      </c>
      <c r="Z107" s="204" t="str">
        <f t="shared" si="11"/>
        <v/>
      </c>
      <c r="AA107" s="204" t="str">
        <f t="shared" si="11"/>
        <v/>
      </c>
      <c r="AB107" s="204" t="str">
        <f t="shared" si="20"/>
        <v/>
      </c>
      <c r="AC107" s="204" t="str">
        <f t="shared" si="20"/>
        <v/>
      </c>
    </row>
    <row r="108" spans="1:29" x14ac:dyDescent="0.3">
      <c r="A108" s="202">
        <v>41381</v>
      </c>
      <c r="B108" s="203">
        <f t="shared" si="12"/>
        <v>4</v>
      </c>
      <c r="C108" s="203">
        <f t="shared" si="13"/>
        <v>0</v>
      </c>
      <c r="D108" s="201">
        <f t="shared" si="14"/>
        <v>0</v>
      </c>
      <c r="E108" s="201">
        <f t="shared" si="15"/>
        <v>0</v>
      </c>
      <c r="F108" s="201">
        <f t="shared" si="16"/>
        <v>0</v>
      </c>
      <c r="G108" s="201">
        <f>SUM(D$2:D108)</f>
        <v>0</v>
      </c>
      <c r="H108" s="201">
        <f>SUM(E$2:E108)</f>
        <v>0</v>
      </c>
      <c r="I108" s="201">
        <f>SUM(F$2:F108)</f>
        <v>0</v>
      </c>
      <c r="J108" s="201">
        <f>Model!F$51</f>
        <v>23678.322499999998</v>
      </c>
      <c r="K108" s="201">
        <f>Model!G$51</f>
        <v>26052.648000000005</v>
      </c>
      <c r="L108" s="201">
        <f>Model!H$51</f>
        <v>27478.056499999995</v>
      </c>
      <c r="M108" s="201">
        <f>Model!I$51</f>
        <v>28903.236999999997</v>
      </c>
      <c r="N108" s="201">
        <f>Model!J$51</f>
        <v>29853.18</v>
      </c>
      <c r="O108" s="201">
        <f>Model!K$51</f>
        <v>0</v>
      </c>
      <c r="P108" s="201">
        <f>Model!L$51</f>
        <v>0</v>
      </c>
      <c r="Q108" s="201">
        <f>Model!M$51</f>
        <v>0</v>
      </c>
      <c r="R108" s="201">
        <f>Model!N$51</f>
        <v>0</v>
      </c>
      <c r="S108" s="201">
        <f>Model!R$51</f>
        <v>25000</v>
      </c>
      <c r="T108" s="204" t="str">
        <f t="shared" si="17"/>
        <v/>
      </c>
      <c r="U108" s="204" t="str">
        <f t="shared" si="18"/>
        <v/>
      </c>
      <c r="V108" s="204" t="str">
        <f t="shared" si="19"/>
        <v/>
      </c>
      <c r="W108" s="204" t="str">
        <f t="shared" si="17"/>
        <v/>
      </c>
      <c r="X108" s="204" t="str">
        <f t="shared" si="11"/>
        <v/>
      </c>
      <c r="Y108" s="204" t="str">
        <f t="shared" si="11"/>
        <v/>
      </c>
      <c r="Z108" s="204" t="str">
        <f t="shared" si="11"/>
        <v/>
      </c>
      <c r="AA108" s="204" t="str">
        <f t="shared" si="11"/>
        <v/>
      </c>
      <c r="AB108" s="204" t="str">
        <f t="shared" si="20"/>
        <v/>
      </c>
      <c r="AC108" s="204" t="str">
        <f t="shared" si="20"/>
        <v/>
      </c>
    </row>
    <row r="109" spans="1:29" x14ac:dyDescent="0.3">
      <c r="A109" s="202">
        <v>41382</v>
      </c>
      <c r="B109" s="203">
        <f t="shared" si="12"/>
        <v>4</v>
      </c>
      <c r="C109" s="203">
        <f t="shared" si="13"/>
        <v>0</v>
      </c>
      <c r="D109" s="201">
        <f t="shared" si="14"/>
        <v>0</v>
      </c>
      <c r="E109" s="201">
        <f t="shared" si="15"/>
        <v>0</v>
      </c>
      <c r="F109" s="201">
        <f t="shared" si="16"/>
        <v>0</v>
      </c>
      <c r="G109" s="201">
        <f>SUM(D$2:D109)</f>
        <v>0</v>
      </c>
      <c r="H109" s="201">
        <f>SUM(E$2:E109)</f>
        <v>0</v>
      </c>
      <c r="I109" s="201">
        <f>SUM(F$2:F109)</f>
        <v>0</v>
      </c>
      <c r="J109" s="201">
        <f>Model!F$51</f>
        <v>23678.322499999998</v>
      </c>
      <c r="K109" s="201">
        <f>Model!G$51</f>
        <v>26052.648000000005</v>
      </c>
      <c r="L109" s="201">
        <f>Model!H$51</f>
        <v>27478.056499999995</v>
      </c>
      <c r="M109" s="201">
        <f>Model!I$51</f>
        <v>28903.236999999997</v>
      </c>
      <c r="N109" s="201">
        <f>Model!J$51</f>
        <v>29853.18</v>
      </c>
      <c r="O109" s="201">
        <f>Model!K$51</f>
        <v>0</v>
      </c>
      <c r="P109" s="201">
        <f>Model!L$51</f>
        <v>0</v>
      </c>
      <c r="Q109" s="201">
        <f>Model!M$51</f>
        <v>0</v>
      </c>
      <c r="R109" s="201">
        <f>Model!N$51</f>
        <v>0</v>
      </c>
      <c r="S109" s="201">
        <f>Model!R$51</f>
        <v>25000</v>
      </c>
      <c r="T109" s="204" t="str">
        <f t="shared" si="17"/>
        <v/>
      </c>
      <c r="U109" s="204" t="str">
        <f t="shared" si="18"/>
        <v/>
      </c>
      <c r="V109" s="204" t="str">
        <f t="shared" si="19"/>
        <v/>
      </c>
      <c r="W109" s="204" t="str">
        <f t="shared" si="17"/>
        <v/>
      </c>
      <c r="X109" s="204" t="str">
        <f t="shared" si="11"/>
        <v/>
      </c>
      <c r="Y109" s="204" t="str">
        <f t="shared" si="11"/>
        <v/>
      </c>
      <c r="Z109" s="204" t="str">
        <f t="shared" si="11"/>
        <v/>
      </c>
      <c r="AA109" s="204" t="str">
        <f t="shared" si="11"/>
        <v/>
      </c>
      <c r="AB109" s="204" t="str">
        <f t="shared" si="20"/>
        <v/>
      </c>
      <c r="AC109" s="204" t="str">
        <f t="shared" si="20"/>
        <v/>
      </c>
    </row>
    <row r="110" spans="1:29" x14ac:dyDescent="0.3">
      <c r="A110" s="202">
        <v>41383</v>
      </c>
      <c r="B110" s="203">
        <f t="shared" si="12"/>
        <v>4</v>
      </c>
      <c r="C110" s="203">
        <f t="shared" si="13"/>
        <v>0</v>
      </c>
      <c r="D110" s="201">
        <f t="shared" si="14"/>
        <v>0</v>
      </c>
      <c r="E110" s="201">
        <f t="shared" si="15"/>
        <v>0</v>
      </c>
      <c r="F110" s="201">
        <f t="shared" si="16"/>
        <v>0</v>
      </c>
      <c r="G110" s="201">
        <f>SUM(D$2:D110)</f>
        <v>0</v>
      </c>
      <c r="H110" s="201">
        <f>SUM(E$2:E110)</f>
        <v>0</v>
      </c>
      <c r="I110" s="201">
        <f>SUM(F$2:F110)</f>
        <v>0</v>
      </c>
      <c r="J110" s="201">
        <f>Model!F$51</f>
        <v>23678.322499999998</v>
      </c>
      <c r="K110" s="201">
        <f>Model!G$51</f>
        <v>26052.648000000005</v>
      </c>
      <c r="L110" s="201">
        <f>Model!H$51</f>
        <v>27478.056499999995</v>
      </c>
      <c r="M110" s="201">
        <f>Model!I$51</f>
        <v>28903.236999999997</v>
      </c>
      <c r="N110" s="201">
        <f>Model!J$51</f>
        <v>29853.18</v>
      </c>
      <c r="O110" s="201">
        <f>Model!K$51</f>
        <v>0</v>
      </c>
      <c r="P110" s="201">
        <f>Model!L$51</f>
        <v>0</v>
      </c>
      <c r="Q110" s="201">
        <f>Model!M$51</f>
        <v>0</v>
      </c>
      <c r="R110" s="201">
        <f>Model!N$51</f>
        <v>0</v>
      </c>
      <c r="S110" s="201">
        <f>Model!R$51</f>
        <v>25000</v>
      </c>
      <c r="T110" s="204" t="str">
        <f t="shared" si="17"/>
        <v/>
      </c>
      <c r="U110" s="204" t="str">
        <f t="shared" si="18"/>
        <v/>
      </c>
      <c r="V110" s="204" t="str">
        <f t="shared" si="19"/>
        <v/>
      </c>
      <c r="W110" s="204" t="str">
        <f t="shared" si="17"/>
        <v/>
      </c>
      <c r="X110" s="204" t="str">
        <f t="shared" si="11"/>
        <v/>
      </c>
      <c r="Y110" s="204" t="str">
        <f t="shared" si="11"/>
        <v/>
      </c>
      <c r="Z110" s="204" t="str">
        <f t="shared" si="11"/>
        <v/>
      </c>
      <c r="AA110" s="204" t="str">
        <f t="shared" si="11"/>
        <v/>
      </c>
      <c r="AB110" s="204" t="str">
        <f t="shared" si="20"/>
        <v/>
      </c>
      <c r="AC110" s="204" t="str">
        <f t="shared" si="20"/>
        <v/>
      </c>
    </row>
    <row r="111" spans="1:29" x14ac:dyDescent="0.3">
      <c r="A111" s="202">
        <v>41384</v>
      </c>
      <c r="B111" s="203">
        <f t="shared" si="12"/>
        <v>4</v>
      </c>
      <c r="C111" s="203">
        <f t="shared" si="13"/>
        <v>0</v>
      </c>
      <c r="D111" s="201">
        <f t="shared" si="14"/>
        <v>0</v>
      </c>
      <c r="E111" s="201">
        <f t="shared" si="15"/>
        <v>0</v>
      </c>
      <c r="F111" s="201">
        <f t="shared" si="16"/>
        <v>0</v>
      </c>
      <c r="G111" s="201">
        <f>SUM(D$2:D111)</f>
        <v>0</v>
      </c>
      <c r="H111" s="201">
        <f>SUM(E$2:E111)</f>
        <v>0</v>
      </c>
      <c r="I111" s="201">
        <f>SUM(F$2:F111)</f>
        <v>0</v>
      </c>
      <c r="J111" s="201">
        <f>Model!F$51</f>
        <v>23678.322499999998</v>
      </c>
      <c r="K111" s="201">
        <f>Model!G$51</f>
        <v>26052.648000000005</v>
      </c>
      <c r="L111" s="201">
        <f>Model!H$51</f>
        <v>27478.056499999995</v>
      </c>
      <c r="M111" s="201">
        <f>Model!I$51</f>
        <v>28903.236999999997</v>
      </c>
      <c r="N111" s="201">
        <f>Model!J$51</f>
        <v>29853.18</v>
      </c>
      <c r="O111" s="201">
        <f>Model!K$51</f>
        <v>0</v>
      </c>
      <c r="P111" s="201">
        <f>Model!L$51</f>
        <v>0</v>
      </c>
      <c r="Q111" s="201">
        <f>Model!M$51</f>
        <v>0</v>
      </c>
      <c r="R111" s="201">
        <f>Model!N$51</f>
        <v>0</v>
      </c>
      <c r="S111" s="201">
        <f>Model!R$51</f>
        <v>25000</v>
      </c>
      <c r="T111" s="204" t="str">
        <f t="shared" si="17"/>
        <v/>
      </c>
      <c r="U111" s="204" t="str">
        <f t="shared" si="18"/>
        <v/>
      </c>
      <c r="V111" s="204" t="str">
        <f t="shared" si="19"/>
        <v/>
      </c>
      <c r="W111" s="204" t="str">
        <f t="shared" si="17"/>
        <v/>
      </c>
      <c r="X111" s="204" t="str">
        <f t="shared" si="11"/>
        <v/>
      </c>
      <c r="Y111" s="204" t="str">
        <f t="shared" si="11"/>
        <v/>
      </c>
      <c r="Z111" s="204" t="str">
        <f t="shared" si="11"/>
        <v/>
      </c>
      <c r="AA111" s="204" t="str">
        <f t="shared" si="11"/>
        <v/>
      </c>
      <c r="AB111" s="204" t="str">
        <f t="shared" si="20"/>
        <v/>
      </c>
      <c r="AC111" s="204" t="str">
        <f t="shared" si="20"/>
        <v/>
      </c>
    </row>
    <row r="112" spans="1:29" x14ac:dyDescent="0.3">
      <c r="A112" s="202">
        <v>41385</v>
      </c>
      <c r="B112" s="203">
        <f t="shared" si="12"/>
        <v>4</v>
      </c>
      <c r="C112" s="203">
        <f t="shared" si="13"/>
        <v>0</v>
      </c>
      <c r="D112" s="201">
        <f t="shared" si="14"/>
        <v>0</v>
      </c>
      <c r="E112" s="201">
        <f t="shared" si="15"/>
        <v>0</v>
      </c>
      <c r="F112" s="201">
        <f t="shared" si="16"/>
        <v>0</v>
      </c>
      <c r="G112" s="201">
        <f>SUM(D$2:D112)</f>
        <v>0</v>
      </c>
      <c r="H112" s="201">
        <f>SUM(E$2:E112)</f>
        <v>0</v>
      </c>
      <c r="I112" s="201">
        <f>SUM(F$2:F112)</f>
        <v>0</v>
      </c>
      <c r="J112" s="201">
        <f>Model!F$51</f>
        <v>23678.322499999998</v>
      </c>
      <c r="K112" s="201">
        <f>Model!G$51</f>
        <v>26052.648000000005</v>
      </c>
      <c r="L112" s="201">
        <f>Model!H$51</f>
        <v>27478.056499999995</v>
      </c>
      <c r="M112" s="201">
        <f>Model!I$51</f>
        <v>28903.236999999997</v>
      </c>
      <c r="N112" s="201">
        <f>Model!J$51</f>
        <v>29853.18</v>
      </c>
      <c r="O112" s="201">
        <f>Model!K$51</f>
        <v>0</v>
      </c>
      <c r="P112" s="201">
        <f>Model!L$51</f>
        <v>0</v>
      </c>
      <c r="Q112" s="201">
        <f>Model!M$51</f>
        <v>0</v>
      </c>
      <c r="R112" s="201">
        <f>Model!N$51</f>
        <v>0</v>
      </c>
      <c r="S112" s="201">
        <f>Model!R$51</f>
        <v>25000</v>
      </c>
      <c r="T112" s="204" t="str">
        <f t="shared" si="17"/>
        <v/>
      </c>
      <c r="U112" s="204" t="str">
        <f t="shared" si="18"/>
        <v/>
      </c>
      <c r="V112" s="204" t="str">
        <f t="shared" si="19"/>
        <v/>
      </c>
      <c r="W112" s="204" t="str">
        <f t="shared" si="17"/>
        <v/>
      </c>
      <c r="X112" s="204" t="str">
        <f t="shared" si="11"/>
        <v/>
      </c>
      <c r="Y112" s="204" t="str">
        <f t="shared" si="11"/>
        <v/>
      </c>
      <c r="Z112" s="204" t="str">
        <f t="shared" si="11"/>
        <v/>
      </c>
      <c r="AA112" s="204" t="str">
        <f t="shared" si="11"/>
        <v/>
      </c>
      <c r="AB112" s="204" t="str">
        <f t="shared" si="20"/>
        <v/>
      </c>
      <c r="AC112" s="204" t="str">
        <f t="shared" si="20"/>
        <v/>
      </c>
    </row>
    <row r="113" spans="1:29" x14ac:dyDescent="0.3">
      <c r="A113" s="202">
        <v>41386</v>
      </c>
      <c r="B113" s="203">
        <f t="shared" si="12"/>
        <v>4</v>
      </c>
      <c r="C113" s="203">
        <f t="shared" si="13"/>
        <v>0</v>
      </c>
      <c r="D113" s="201">
        <f t="shared" si="14"/>
        <v>0</v>
      </c>
      <c r="E113" s="201">
        <f t="shared" si="15"/>
        <v>0</v>
      </c>
      <c r="F113" s="201">
        <f t="shared" si="16"/>
        <v>0</v>
      </c>
      <c r="G113" s="201">
        <f>SUM(D$2:D113)</f>
        <v>0</v>
      </c>
      <c r="H113" s="201">
        <f>SUM(E$2:E113)</f>
        <v>0</v>
      </c>
      <c r="I113" s="201">
        <f>SUM(F$2:F113)</f>
        <v>0</v>
      </c>
      <c r="J113" s="201">
        <f>Model!F$51</f>
        <v>23678.322499999998</v>
      </c>
      <c r="K113" s="201">
        <f>Model!G$51</f>
        <v>26052.648000000005</v>
      </c>
      <c r="L113" s="201">
        <f>Model!H$51</f>
        <v>27478.056499999995</v>
      </c>
      <c r="M113" s="201">
        <f>Model!I$51</f>
        <v>28903.236999999997</v>
      </c>
      <c r="N113" s="201">
        <f>Model!J$51</f>
        <v>29853.18</v>
      </c>
      <c r="O113" s="201">
        <f>Model!K$51</f>
        <v>0</v>
      </c>
      <c r="P113" s="201">
        <f>Model!L$51</f>
        <v>0</v>
      </c>
      <c r="Q113" s="201">
        <f>Model!M$51</f>
        <v>0</v>
      </c>
      <c r="R113" s="201">
        <f>Model!N$51</f>
        <v>0</v>
      </c>
      <c r="S113" s="201">
        <f>Model!R$51</f>
        <v>25000</v>
      </c>
      <c r="T113" s="204" t="str">
        <f t="shared" si="17"/>
        <v/>
      </c>
      <c r="U113" s="204" t="str">
        <f t="shared" si="18"/>
        <v/>
      </c>
      <c r="V113" s="204" t="str">
        <f t="shared" si="19"/>
        <v/>
      </c>
      <c r="W113" s="204" t="str">
        <f t="shared" si="17"/>
        <v/>
      </c>
      <c r="X113" s="204" t="str">
        <f t="shared" si="11"/>
        <v/>
      </c>
      <c r="Y113" s="204" t="str">
        <f t="shared" si="11"/>
        <v/>
      </c>
      <c r="Z113" s="204" t="str">
        <f t="shared" si="11"/>
        <v/>
      </c>
      <c r="AA113" s="204" t="str">
        <f t="shared" si="11"/>
        <v/>
      </c>
      <c r="AB113" s="204" t="str">
        <f t="shared" si="20"/>
        <v/>
      </c>
      <c r="AC113" s="204" t="str">
        <f t="shared" si="20"/>
        <v/>
      </c>
    </row>
    <row r="114" spans="1:29" x14ac:dyDescent="0.3">
      <c r="A114" s="202">
        <v>41387</v>
      </c>
      <c r="B114" s="203">
        <f t="shared" si="12"/>
        <v>4</v>
      </c>
      <c r="C114" s="203">
        <f t="shared" si="13"/>
        <v>0</v>
      </c>
      <c r="D114" s="201">
        <f t="shared" si="14"/>
        <v>0</v>
      </c>
      <c r="E114" s="201">
        <f t="shared" si="15"/>
        <v>0</v>
      </c>
      <c r="F114" s="201">
        <f t="shared" si="16"/>
        <v>0</v>
      </c>
      <c r="G114" s="201">
        <f>SUM(D$2:D114)</f>
        <v>0</v>
      </c>
      <c r="H114" s="201">
        <f>SUM(E$2:E114)</f>
        <v>0</v>
      </c>
      <c r="I114" s="201">
        <f>SUM(F$2:F114)</f>
        <v>0</v>
      </c>
      <c r="J114" s="201">
        <f>Model!F$51</f>
        <v>23678.322499999998</v>
      </c>
      <c r="K114" s="201">
        <f>Model!G$51</f>
        <v>26052.648000000005</v>
      </c>
      <c r="L114" s="201">
        <f>Model!H$51</f>
        <v>27478.056499999995</v>
      </c>
      <c r="M114" s="201">
        <f>Model!I$51</f>
        <v>28903.236999999997</v>
      </c>
      <c r="N114" s="201">
        <f>Model!J$51</f>
        <v>29853.18</v>
      </c>
      <c r="O114" s="201">
        <f>Model!K$51</f>
        <v>0</v>
      </c>
      <c r="P114" s="201">
        <f>Model!L$51</f>
        <v>0</v>
      </c>
      <c r="Q114" s="201">
        <f>Model!M$51</f>
        <v>0</v>
      </c>
      <c r="R114" s="201">
        <f>Model!N$51</f>
        <v>0</v>
      </c>
      <c r="S114" s="201">
        <f>Model!R$51</f>
        <v>25000</v>
      </c>
      <c r="T114" s="204" t="str">
        <f t="shared" si="17"/>
        <v/>
      </c>
      <c r="U114" s="204" t="str">
        <f t="shared" si="18"/>
        <v/>
      </c>
      <c r="V114" s="204" t="str">
        <f t="shared" si="19"/>
        <v/>
      </c>
      <c r="W114" s="204" t="str">
        <f t="shared" si="17"/>
        <v/>
      </c>
      <c r="X114" s="204" t="str">
        <f t="shared" si="11"/>
        <v/>
      </c>
      <c r="Y114" s="204" t="str">
        <f t="shared" si="11"/>
        <v/>
      </c>
      <c r="Z114" s="204" t="str">
        <f t="shared" si="11"/>
        <v/>
      </c>
      <c r="AA114" s="204" t="str">
        <f t="shared" si="11"/>
        <v/>
      </c>
      <c r="AB114" s="204" t="str">
        <f t="shared" si="20"/>
        <v/>
      </c>
      <c r="AC114" s="204" t="str">
        <f t="shared" si="20"/>
        <v/>
      </c>
    </row>
    <row r="115" spans="1:29" x14ac:dyDescent="0.3">
      <c r="A115" s="202">
        <v>41388</v>
      </c>
      <c r="B115" s="203">
        <f t="shared" si="12"/>
        <v>4</v>
      </c>
      <c r="C115" s="203">
        <f t="shared" si="13"/>
        <v>0</v>
      </c>
      <c r="D115" s="201">
        <f t="shared" si="14"/>
        <v>0</v>
      </c>
      <c r="E115" s="201">
        <f t="shared" si="15"/>
        <v>0</v>
      </c>
      <c r="F115" s="201">
        <f t="shared" si="16"/>
        <v>0</v>
      </c>
      <c r="G115" s="201">
        <f>SUM(D$2:D115)</f>
        <v>0</v>
      </c>
      <c r="H115" s="201">
        <f>SUM(E$2:E115)</f>
        <v>0</v>
      </c>
      <c r="I115" s="201">
        <f>SUM(F$2:F115)</f>
        <v>0</v>
      </c>
      <c r="J115" s="201">
        <f>Model!F$51</f>
        <v>23678.322499999998</v>
      </c>
      <c r="K115" s="201">
        <f>Model!G$51</f>
        <v>26052.648000000005</v>
      </c>
      <c r="L115" s="201">
        <f>Model!H$51</f>
        <v>27478.056499999995</v>
      </c>
      <c r="M115" s="201">
        <f>Model!I$51</f>
        <v>28903.236999999997</v>
      </c>
      <c r="N115" s="201">
        <f>Model!J$51</f>
        <v>29853.18</v>
      </c>
      <c r="O115" s="201">
        <f>Model!K$51</f>
        <v>0</v>
      </c>
      <c r="P115" s="201">
        <f>Model!L$51</f>
        <v>0</v>
      </c>
      <c r="Q115" s="201">
        <f>Model!M$51</f>
        <v>0</v>
      </c>
      <c r="R115" s="201">
        <f>Model!N$51</f>
        <v>0</v>
      </c>
      <c r="S115" s="201">
        <f>Model!R$51</f>
        <v>25000</v>
      </c>
      <c r="T115" s="204" t="str">
        <f t="shared" si="17"/>
        <v/>
      </c>
      <c r="U115" s="204" t="str">
        <f t="shared" si="18"/>
        <v/>
      </c>
      <c r="V115" s="204" t="str">
        <f t="shared" si="19"/>
        <v/>
      </c>
      <c r="W115" s="204" t="str">
        <f t="shared" si="17"/>
        <v/>
      </c>
      <c r="X115" s="204" t="str">
        <f t="shared" si="11"/>
        <v/>
      </c>
      <c r="Y115" s="204" t="str">
        <f t="shared" si="11"/>
        <v/>
      </c>
      <c r="Z115" s="204" t="str">
        <f t="shared" si="11"/>
        <v/>
      </c>
      <c r="AA115" s="204" t="str">
        <f t="shared" si="11"/>
        <v/>
      </c>
      <c r="AB115" s="204" t="str">
        <f t="shared" si="20"/>
        <v/>
      </c>
      <c r="AC115" s="204" t="str">
        <f t="shared" si="20"/>
        <v/>
      </c>
    </row>
    <row r="116" spans="1:29" x14ac:dyDescent="0.3">
      <c r="A116" s="202">
        <v>41389</v>
      </c>
      <c r="B116" s="203">
        <f t="shared" si="12"/>
        <v>4</v>
      </c>
      <c r="C116" s="203">
        <f t="shared" si="13"/>
        <v>0</v>
      </c>
      <c r="D116" s="201">
        <f t="shared" si="14"/>
        <v>0</v>
      </c>
      <c r="E116" s="201">
        <f t="shared" si="15"/>
        <v>0</v>
      </c>
      <c r="F116" s="201">
        <f t="shared" si="16"/>
        <v>0</v>
      </c>
      <c r="G116" s="201">
        <f>SUM(D$2:D116)</f>
        <v>0</v>
      </c>
      <c r="H116" s="201">
        <f>SUM(E$2:E116)</f>
        <v>0</v>
      </c>
      <c r="I116" s="201">
        <f>SUM(F$2:F116)</f>
        <v>0</v>
      </c>
      <c r="J116" s="201">
        <f>Model!F$51</f>
        <v>23678.322499999998</v>
      </c>
      <c r="K116" s="201">
        <f>Model!G$51</f>
        <v>26052.648000000005</v>
      </c>
      <c r="L116" s="201">
        <f>Model!H$51</f>
        <v>27478.056499999995</v>
      </c>
      <c r="M116" s="201">
        <f>Model!I$51</f>
        <v>28903.236999999997</v>
      </c>
      <c r="N116" s="201">
        <f>Model!J$51</f>
        <v>29853.18</v>
      </c>
      <c r="O116" s="201">
        <f>Model!K$51</f>
        <v>0</v>
      </c>
      <c r="P116" s="201">
        <f>Model!L$51</f>
        <v>0</v>
      </c>
      <c r="Q116" s="201">
        <f>Model!M$51</f>
        <v>0</v>
      </c>
      <c r="R116" s="201">
        <f>Model!N$51</f>
        <v>0</v>
      </c>
      <c r="S116" s="201">
        <f>Model!R$51</f>
        <v>25000</v>
      </c>
      <c r="T116" s="204" t="str">
        <f t="shared" si="17"/>
        <v/>
      </c>
      <c r="U116" s="204" t="str">
        <f t="shared" si="18"/>
        <v/>
      </c>
      <c r="V116" s="204" t="str">
        <f t="shared" si="19"/>
        <v/>
      </c>
      <c r="W116" s="204" t="str">
        <f t="shared" si="17"/>
        <v/>
      </c>
      <c r="X116" s="204" t="str">
        <f t="shared" si="11"/>
        <v/>
      </c>
      <c r="Y116" s="204" t="str">
        <f t="shared" si="11"/>
        <v/>
      </c>
      <c r="Z116" s="204" t="str">
        <f t="shared" si="11"/>
        <v/>
      </c>
      <c r="AA116" s="204" t="str">
        <f t="shared" si="11"/>
        <v/>
      </c>
      <c r="AB116" s="204" t="str">
        <f t="shared" si="20"/>
        <v/>
      </c>
      <c r="AC116" s="204" t="str">
        <f t="shared" si="20"/>
        <v/>
      </c>
    </row>
    <row r="117" spans="1:29" x14ac:dyDescent="0.3">
      <c r="A117" s="202">
        <v>41390</v>
      </c>
      <c r="B117" s="203">
        <f t="shared" si="12"/>
        <v>4</v>
      </c>
      <c r="C117" s="203">
        <f t="shared" si="13"/>
        <v>0</v>
      </c>
      <c r="D117" s="201">
        <f t="shared" si="14"/>
        <v>0</v>
      </c>
      <c r="E117" s="201">
        <f t="shared" si="15"/>
        <v>0</v>
      </c>
      <c r="F117" s="201">
        <f t="shared" si="16"/>
        <v>0</v>
      </c>
      <c r="G117" s="201">
        <f>SUM(D$2:D117)</f>
        <v>0</v>
      </c>
      <c r="H117" s="201">
        <f>SUM(E$2:E117)</f>
        <v>0</v>
      </c>
      <c r="I117" s="201">
        <f>SUM(F$2:F117)</f>
        <v>0</v>
      </c>
      <c r="J117" s="201">
        <f>Model!F$51</f>
        <v>23678.322499999998</v>
      </c>
      <c r="K117" s="201">
        <f>Model!G$51</f>
        <v>26052.648000000005</v>
      </c>
      <c r="L117" s="201">
        <f>Model!H$51</f>
        <v>27478.056499999995</v>
      </c>
      <c r="M117" s="201">
        <f>Model!I$51</f>
        <v>28903.236999999997</v>
      </c>
      <c r="N117" s="201">
        <f>Model!J$51</f>
        <v>29853.18</v>
      </c>
      <c r="O117" s="201">
        <f>Model!K$51</f>
        <v>0</v>
      </c>
      <c r="P117" s="201">
        <f>Model!L$51</f>
        <v>0</v>
      </c>
      <c r="Q117" s="201">
        <f>Model!M$51</f>
        <v>0</v>
      </c>
      <c r="R117" s="201">
        <f>Model!N$51</f>
        <v>0</v>
      </c>
      <c r="S117" s="201">
        <f>Model!R$51</f>
        <v>25000</v>
      </c>
      <c r="T117" s="204" t="str">
        <f t="shared" si="17"/>
        <v/>
      </c>
      <c r="U117" s="204" t="str">
        <f t="shared" si="18"/>
        <v/>
      </c>
      <c r="V117" s="204" t="str">
        <f t="shared" si="19"/>
        <v/>
      </c>
      <c r="W117" s="204" t="str">
        <f t="shared" si="17"/>
        <v/>
      </c>
      <c r="X117" s="204" t="str">
        <f t="shared" si="11"/>
        <v/>
      </c>
      <c r="Y117" s="204" t="str">
        <f t="shared" si="11"/>
        <v/>
      </c>
      <c r="Z117" s="204" t="str">
        <f t="shared" si="11"/>
        <v/>
      </c>
      <c r="AA117" s="204" t="str">
        <f t="shared" si="11"/>
        <v/>
      </c>
      <c r="AB117" s="204" t="str">
        <f t="shared" si="20"/>
        <v/>
      </c>
      <c r="AC117" s="204" t="str">
        <f t="shared" si="20"/>
        <v/>
      </c>
    </row>
    <row r="118" spans="1:29" x14ac:dyDescent="0.3">
      <c r="A118" s="202">
        <v>41391</v>
      </c>
      <c r="B118" s="203">
        <f t="shared" si="12"/>
        <v>4</v>
      </c>
      <c r="C118" s="203">
        <f t="shared" si="13"/>
        <v>0</v>
      </c>
      <c r="D118" s="201">
        <f t="shared" si="14"/>
        <v>0</v>
      </c>
      <c r="E118" s="201">
        <f t="shared" si="15"/>
        <v>0</v>
      </c>
      <c r="F118" s="201">
        <f t="shared" si="16"/>
        <v>0</v>
      </c>
      <c r="G118" s="201">
        <f>SUM(D$2:D118)</f>
        <v>0</v>
      </c>
      <c r="H118" s="201">
        <f>SUM(E$2:E118)</f>
        <v>0</v>
      </c>
      <c r="I118" s="201">
        <f>SUM(F$2:F118)</f>
        <v>0</v>
      </c>
      <c r="J118" s="201">
        <f>Model!F$51</f>
        <v>23678.322499999998</v>
      </c>
      <c r="K118" s="201">
        <f>Model!G$51</f>
        <v>26052.648000000005</v>
      </c>
      <c r="L118" s="201">
        <f>Model!H$51</f>
        <v>27478.056499999995</v>
      </c>
      <c r="M118" s="201">
        <f>Model!I$51</f>
        <v>28903.236999999997</v>
      </c>
      <c r="N118" s="201">
        <f>Model!J$51</f>
        <v>29853.18</v>
      </c>
      <c r="O118" s="201">
        <f>Model!K$51</f>
        <v>0</v>
      </c>
      <c r="P118" s="201">
        <f>Model!L$51</f>
        <v>0</v>
      </c>
      <c r="Q118" s="201">
        <f>Model!M$51</f>
        <v>0</v>
      </c>
      <c r="R118" s="201">
        <f>Model!N$51</f>
        <v>0</v>
      </c>
      <c r="S118" s="201">
        <f>Model!R$51</f>
        <v>25000</v>
      </c>
      <c r="T118" s="204" t="str">
        <f t="shared" si="17"/>
        <v/>
      </c>
      <c r="U118" s="204" t="str">
        <f t="shared" si="18"/>
        <v/>
      </c>
      <c r="V118" s="204" t="str">
        <f t="shared" si="19"/>
        <v/>
      </c>
      <c r="W118" s="204" t="str">
        <f t="shared" si="17"/>
        <v/>
      </c>
      <c r="X118" s="204" t="str">
        <f t="shared" si="11"/>
        <v/>
      </c>
      <c r="Y118" s="204" t="str">
        <f t="shared" si="11"/>
        <v/>
      </c>
      <c r="Z118" s="204" t="str">
        <f t="shared" si="11"/>
        <v/>
      </c>
      <c r="AA118" s="204" t="str">
        <f t="shared" si="11"/>
        <v/>
      </c>
      <c r="AB118" s="204" t="str">
        <f t="shared" si="20"/>
        <v/>
      </c>
      <c r="AC118" s="204" t="str">
        <f t="shared" si="20"/>
        <v/>
      </c>
    </row>
    <row r="119" spans="1:29" x14ac:dyDescent="0.3">
      <c r="A119" s="202">
        <v>41392</v>
      </c>
      <c r="B119" s="203">
        <f t="shared" si="12"/>
        <v>4</v>
      </c>
      <c r="C119" s="203">
        <f t="shared" si="13"/>
        <v>0</v>
      </c>
      <c r="D119" s="201">
        <f t="shared" si="14"/>
        <v>0</v>
      </c>
      <c r="E119" s="201">
        <f t="shared" si="15"/>
        <v>0</v>
      </c>
      <c r="F119" s="201">
        <f t="shared" si="16"/>
        <v>0</v>
      </c>
      <c r="G119" s="201">
        <f>SUM(D$2:D119)</f>
        <v>0</v>
      </c>
      <c r="H119" s="201">
        <f>SUM(E$2:E119)</f>
        <v>0</v>
      </c>
      <c r="I119" s="201">
        <f>SUM(F$2:F119)</f>
        <v>0</v>
      </c>
      <c r="J119" s="201">
        <f>Model!F$51</f>
        <v>23678.322499999998</v>
      </c>
      <c r="K119" s="201">
        <f>Model!G$51</f>
        <v>26052.648000000005</v>
      </c>
      <c r="L119" s="201">
        <f>Model!H$51</f>
        <v>27478.056499999995</v>
      </c>
      <c r="M119" s="201">
        <f>Model!I$51</f>
        <v>28903.236999999997</v>
      </c>
      <c r="N119" s="201">
        <f>Model!J$51</f>
        <v>29853.18</v>
      </c>
      <c r="O119" s="201">
        <f>Model!K$51</f>
        <v>0</v>
      </c>
      <c r="P119" s="201">
        <f>Model!L$51</f>
        <v>0</v>
      </c>
      <c r="Q119" s="201">
        <f>Model!M$51</f>
        <v>0</v>
      </c>
      <c r="R119" s="201">
        <f>Model!N$51</f>
        <v>0</v>
      </c>
      <c r="S119" s="201">
        <f>Model!R$51</f>
        <v>25000</v>
      </c>
      <c r="T119" s="204" t="str">
        <f t="shared" si="17"/>
        <v/>
      </c>
      <c r="U119" s="204" t="str">
        <f t="shared" si="18"/>
        <v/>
      </c>
      <c r="V119" s="204" t="str">
        <f t="shared" si="19"/>
        <v/>
      </c>
      <c r="W119" s="204" t="str">
        <f t="shared" si="17"/>
        <v/>
      </c>
      <c r="X119" s="204" t="str">
        <f t="shared" si="11"/>
        <v/>
      </c>
      <c r="Y119" s="204" t="str">
        <f t="shared" si="11"/>
        <v/>
      </c>
      <c r="Z119" s="204" t="str">
        <f t="shared" si="11"/>
        <v/>
      </c>
      <c r="AA119" s="204" t="str">
        <f t="shared" si="11"/>
        <v/>
      </c>
      <c r="AB119" s="204" t="str">
        <f t="shared" si="20"/>
        <v/>
      </c>
      <c r="AC119" s="204" t="str">
        <f t="shared" si="20"/>
        <v/>
      </c>
    </row>
    <row r="120" spans="1:29" x14ac:dyDescent="0.3">
      <c r="A120" s="202">
        <v>41393</v>
      </c>
      <c r="B120" s="203">
        <f t="shared" si="12"/>
        <v>4</v>
      </c>
      <c r="C120" s="203">
        <f t="shared" si="13"/>
        <v>0</v>
      </c>
      <c r="D120" s="201">
        <f t="shared" si="14"/>
        <v>0</v>
      </c>
      <c r="E120" s="201">
        <f t="shared" si="15"/>
        <v>0</v>
      </c>
      <c r="F120" s="201">
        <f t="shared" si="16"/>
        <v>0</v>
      </c>
      <c r="G120" s="201">
        <f>SUM(D$2:D120)</f>
        <v>0</v>
      </c>
      <c r="H120" s="201">
        <f>SUM(E$2:E120)</f>
        <v>0</v>
      </c>
      <c r="I120" s="201">
        <f>SUM(F$2:F120)</f>
        <v>0</v>
      </c>
      <c r="J120" s="201">
        <f>Model!F$51</f>
        <v>23678.322499999998</v>
      </c>
      <c r="K120" s="201">
        <f>Model!G$51</f>
        <v>26052.648000000005</v>
      </c>
      <c r="L120" s="201">
        <f>Model!H$51</f>
        <v>27478.056499999995</v>
      </c>
      <c r="M120" s="201">
        <f>Model!I$51</f>
        <v>28903.236999999997</v>
      </c>
      <c r="N120" s="201">
        <f>Model!J$51</f>
        <v>29853.18</v>
      </c>
      <c r="O120" s="201">
        <f>Model!K$51</f>
        <v>0</v>
      </c>
      <c r="P120" s="201">
        <f>Model!L$51</f>
        <v>0</v>
      </c>
      <c r="Q120" s="201">
        <f>Model!M$51</f>
        <v>0</v>
      </c>
      <c r="R120" s="201">
        <f>Model!N$51</f>
        <v>0</v>
      </c>
      <c r="S120" s="201">
        <f>Model!R$51</f>
        <v>25000</v>
      </c>
      <c r="T120" s="204" t="str">
        <f t="shared" si="17"/>
        <v/>
      </c>
      <c r="U120" s="204" t="str">
        <f t="shared" si="18"/>
        <v/>
      </c>
      <c r="V120" s="204" t="str">
        <f t="shared" si="19"/>
        <v/>
      </c>
      <c r="W120" s="204" t="str">
        <f t="shared" si="17"/>
        <v/>
      </c>
      <c r="X120" s="204" t="str">
        <f t="shared" si="11"/>
        <v/>
      </c>
      <c r="Y120" s="204" t="str">
        <f t="shared" si="11"/>
        <v/>
      </c>
      <c r="Z120" s="204" t="str">
        <f t="shared" si="11"/>
        <v/>
      </c>
      <c r="AA120" s="204" t="str">
        <f t="shared" si="11"/>
        <v/>
      </c>
      <c r="AB120" s="204" t="str">
        <f t="shared" si="20"/>
        <v/>
      </c>
      <c r="AC120" s="204" t="str">
        <f t="shared" si="20"/>
        <v/>
      </c>
    </row>
    <row r="121" spans="1:29" x14ac:dyDescent="0.3">
      <c r="A121" s="202">
        <v>41394</v>
      </c>
      <c r="B121" s="203">
        <f t="shared" si="12"/>
        <v>4</v>
      </c>
      <c r="C121" s="203">
        <f t="shared" si="13"/>
        <v>0</v>
      </c>
      <c r="D121" s="201">
        <f t="shared" si="14"/>
        <v>0</v>
      </c>
      <c r="E121" s="201">
        <f t="shared" si="15"/>
        <v>0</v>
      </c>
      <c r="F121" s="201">
        <f t="shared" si="16"/>
        <v>0</v>
      </c>
      <c r="G121" s="201">
        <f>SUM(D$2:D121)</f>
        <v>0</v>
      </c>
      <c r="H121" s="201">
        <f>SUM(E$2:E121)</f>
        <v>0</v>
      </c>
      <c r="I121" s="201">
        <f>SUM(F$2:F121)</f>
        <v>0</v>
      </c>
      <c r="J121" s="201">
        <f>Model!F$51</f>
        <v>23678.322499999998</v>
      </c>
      <c r="K121" s="201">
        <f>Model!G$51</f>
        <v>26052.648000000005</v>
      </c>
      <c r="L121" s="201">
        <f>Model!H$51</f>
        <v>27478.056499999995</v>
      </c>
      <c r="M121" s="201">
        <f>Model!I$51</f>
        <v>28903.236999999997</v>
      </c>
      <c r="N121" s="201">
        <f>Model!J$51</f>
        <v>29853.18</v>
      </c>
      <c r="O121" s="201">
        <f>Model!K$51</f>
        <v>0</v>
      </c>
      <c r="P121" s="201">
        <f>Model!L$51</f>
        <v>0</v>
      </c>
      <c r="Q121" s="201">
        <f>Model!M$51</f>
        <v>0</v>
      </c>
      <c r="R121" s="201">
        <f>Model!N$51</f>
        <v>0</v>
      </c>
      <c r="S121" s="201">
        <f>Model!R$51</f>
        <v>25000</v>
      </c>
      <c r="T121" s="204" t="str">
        <f t="shared" si="17"/>
        <v/>
      </c>
      <c r="U121" s="204" t="str">
        <f t="shared" si="18"/>
        <v/>
      </c>
      <c r="V121" s="204" t="str">
        <f t="shared" si="19"/>
        <v/>
      </c>
      <c r="W121" s="204" t="str">
        <f t="shared" si="17"/>
        <v/>
      </c>
      <c r="X121" s="204" t="str">
        <f t="shared" si="11"/>
        <v/>
      </c>
      <c r="Y121" s="204" t="str">
        <f t="shared" si="11"/>
        <v/>
      </c>
      <c r="Z121" s="204" t="str">
        <f t="shared" si="11"/>
        <v/>
      </c>
      <c r="AA121" s="204" t="str">
        <f t="shared" si="11"/>
        <v/>
      </c>
      <c r="AB121" s="204" t="str">
        <f t="shared" si="20"/>
        <v/>
      </c>
      <c r="AC121" s="204" t="str">
        <f t="shared" si="20"/>
        <v/>
      </c>
    </row>
    <row r="122" spans="1:29" x14ac:dyDescent="0.3">
      <c r="A122" s="202">
        <v>41395</v>
      </c>
      <c r="B122" s="203">
        <f t="shared" si="12"/>
        <v>5</v>
      </c>
      <c r="C122" s="203">
        <f t="shared" si="13"/>
        <v>1</v>
      </c>
      <c r="D122" s="201">
        <f>IF(C122=0,0,VLOOKUP(B122,$AE$3:$AH$14,4,FALSE))</f>
        <v>217.34190322580645</v>
      </c>
      <c r="E122" s="201">
        <f t="shared" si="15"/>
        <v>271.86164516129031</v>
      </c>
      <c r="F122" s="201">
        <f t="shared" si="16"/>
        <v>0</v>
      </c>
      <c r="G122" s="201">
        <f>SUM(D$2:D122)</f>
        <v>217.34190322580645</v>
      </c>
      <c r="H122" s="201">
        <f>SUM(E$2:E122)</f>
        <v>271.86164516129031</v>
      </c>
      <c r="I122" s="201">
        <f>SUM(F$2:F122)</f>
        <v>0</v>
      </c>
      <c r="J122" s="201">
        <f>Model!F$51</f>
        <v>23678.322499999998</v>
      </c>
      <c r="K122" s="201">
        <f>Model!G$51</f>
        <v>26052.648000000005</v>
      </c>
      <c r="L122" s="201">
        <f>Model!H$51</f>
        <v>27478.056499999995</v>
      </c>
      <c r="M122" s="201">
        <f>Model!I$51</f>
        <v>28903.236999999997</v>
      </c>
      <c r="N122" s="201">
        <f>Model!J$51</f>
        <v>29853.18</v>
      </c>
      <c r="O122" s="201">
        <f>Model!K$51</f>
        <v>0</v>
      </c>
      <c r="P122" s="201">
        <f>Model!L$51</f>
        <v>0</v>
      </c>
      <c r="Q122" s="201">
        <f>Model!M$51</f>
        <v>0</v>
      </c>
      <c r="R122" s="201">
        <f>Model!N$51</f>
        <v>0</v>
      </c>
      <c r="S122" s="201">
        <f>Model!R$51</f>
        <v>25000</v>
      </c>
      <c r="T122" s="204" t="str">
        <f t="shared" si="17"/>
        <v/>
      </c>
      <c r="U122" s="204" t="str">
        <f t="shared" si="18"/>
        <v/>
      </c>
      <c r="V122" s="204" t="str">
        <f t="shared" si="19"/>
        <v/>
      </c>
      <c r="W122" s="204" t="str">
        <f t="shared" si="17"/>
        <v/>
      </c>
      <c r="X122" s="204" t="str">
        <f t="shared" si="11"/>
        <v/>
      </c>
      <c r="Y122" s="204">
        <f t="shared" si="11"/>
        <v>41395</v>
      </c>
      <c r="Z122" s="204">
        <f t="shared" si="11"/>
        <v>41395</v>
      </c>
      <c r="AA122" s="204">
        <f t="shared" si="11"/>
        <v>41395</v>
      </c>
      <c r="AB122" s="204">
        <f t="shared" si="20"/>
        <v>41395</v>
      </c>
      <c r="AC122" s="204" t="str">
        <f t="shared" si="20"/>
        <v/>
      </c>
    </row>
    <row r="123" spans="1:29" x14ac:dyDescent="0.3">
      <c r="A123" s="202">
        <v>41396</v>
      </c>
      <c r="B123" s="203">
        <f t="shared" si="12"/>
        <v>5</v>
      </c>
      <c r="C123" s="203">
        <f t="shared" si="13"/>
        <v>1</v>
      </c>
      <c r="D123" s="201">
        <f t="shared" si="14"/>
        <v>217.34190322580645</v>
      </c>
      <c r="E123" s="201">
        <f t="shared" si="15"/>
        <v>271.86164516129031</v>
      </c>
      <c r="F123" s="201">
        <f t="shared" si="16"/>
        <v>0</v>
      </c>
      <c r="G123" s="201">
        <f>SUM(D$2:D123)</f>
        <v>434.6838064516129</v>
      </c>
      <c r="H123" s="201">
        <f>SUM(E$2:E123)</f>
        <v>543.72329032258062</v>
      </c>
      <c r="I123" s="201">
        <f>SUM(F$2:F123)</f>
        <v>0</v>
      </c>
      <c r="J123" s="201">
        <f>Model!F$51</f>
        <v>23678.322499999998</v>
      </c>
      <c r="K123" s="201">
        <f>Model!G$51</f>
        <v>26052.648000000005</v>
      </c>
      <c r="L123" s="201">
        <f>Model!H$51</f>
        <v>27478.056499999995</v>
      </c>
      <c r="M123" s="201">
        <f>Model!I$51</f>
        <v>28903.236999999997</v>
      </c>
      <c r="N123" s="201">
        <f>Model!J$51</f>
        <v>29853.18</v>
      </c>
      <c r="O123" s="201">
        <f>Model!K$51</f>
        <v>0</v>
      </c>
      <c r="P123" s="201">
        <f>Model!L$51</f>
        <v>0</v>
      </c>
      <c r="Q123" s="201">
        <f>Model!M$51</f>
        <v>0</v>
      </c>
      <c r="R123" s="201">
        <f>Model!N$51</f>
        <v>0</v>
      </c>
      <c r="S123" s="201">
        <f>Model!R$51</f>
        <v>25000</v>
      </c>
      <c r="T123" s="204" t="str">
        <f t="shared" si="17"/>
        <v/>
      </c>
      <c r="U123" s="204" t="str">
        <f t="shared" si="18"/>
        <v/>
      </c>
      <c r="V123" s="204" t="str">
        <f t="shared" si="19"/>
        <v/>
      </c>
      <c r="W123" s="204" t="str">
        <f t="shared" si="17"/>
        <v/>
      </c>
      <c r="X123" s="204" t="str">
        <f t="shared" si="11"/>
        <v/>
      </c>
      <c r="Y123" s="204" t="str">
        <f t="shared" si="11"/>
        <v xml:space="preserve">  </v>
      </c>
      <c r="Z123" s="204" t="str">
        <f t="shared" si="11"/>
        <v xml:space="preserve">  </v>
      </c>
      <c r="AA123" s="204" t="str">
        <f t="shared" si="11"/>
        <v xml:space="preserve">  </v>
      </c>
      <c r="AB123" s="204" t="str">
        <f t="shared" si="20"/>
        <v xml:space="preserve">  </v>
      </c>
      <c r="AC123" s="204" t="str">
        <f t="shared" si="20"/>
        <v/>
      </c>
    </row>
    <row r="124" spans="1:29" x14ac:dyDescent="0.3">
      <c r="A124" s="202">
        <v>41397</v>
      </c>
      <c r="B124" s="203">
        <f t="shared" si="12"/>
        <v>5</v>
      </c>
      <c r="C124" s="203">
        <f t="shared" si="13"/>
        <v>1</v>
      </c>
      <c r="D124" s="201">
        <f t="shared" si="14"/>
        <v>217.34190322580645</v>
      </c>
      <c r="E124" s="201">
        <f t="shared" si="15"/>
        <v>271.86164516129031</v>
      </c>
      <c r="F124" s="201">
        <f t="shared" si="16"/>
        <v>0</v>
      </c>
      <c r="G124" s="201">
        <f>SUM(D$2:D124)</f>
        <v>652.0257096774194</v>
      </c>
      <c r="H124" s="201">
        <f>SUM(E$2:E124)</f>
        <v>815.58493548387094</v>
      </c>
      <c r="I124" s="201">
        <f>SUM(F$2:F124)</f>
        <v>0</v>
      </c>
      <c r="J124" s="201">
        <f>Model!F$51</f>
        <v>23678.322499999998</v>
      </c>
      <c r="K124" s="201">
        <f>Model!G$51</f>
        <v>26052.648000000005</v>
      </c>
      <c r="L124" s="201">
        <f>Model!H$51</f>
        <v>27478.056499999995</v>
      </c>
      <c r="M124" s="201">
        <f>Model!I$51</f>
        <v>28903.236999999997</v>
      </c>
      <c r="N124" s="201">
        <f>Model!J$51</f>
        <v>29853.18</v>
      </c>
      <c r="O124" s="201">
        <f>Model!K$51</f>
        <v>0</v>
      </c>
      <c r="P124" s="201">
        <f>Model!L$51</f>
        <v>0</v>
      </c>
      <c r="Q124" s="201">
        <f>Model!M$51</f>
        <v>0</v>
      </c>
      <c r="R124" s="201">
        <f>Model!N$51</f>
        <v>0</v>
      </c>
      <c r="S124" s="201">
        <f>Model!R$51</f>
        <v>25000</v>
      </c>
      <c r="T124" s="204" t="str">
        <f t="shared" si="17"/>
        <v/>
      </c>
      <c r="U124" s="204" t="str">
        <f t="shared" si="18"/>
        <v/>
      </c>
      <c r="V124" s="204" t="str">
        <f t="shared" si="19"/>
        <v/>
      </c>
      <c r="W124" s="204" t="str">
        <f t="shared" si="17"/>
        <v/>
      </c>
      <c r="X124" s="204" t="str">
        <f t="shared" si="11"/>
        <v/>
      </c>
      <c r="Y124" s="204" t="str">
        <f t="shared" si="11"/>
        <v xml:space="preserve">  </v>
      </c>
      <c r="Z124" s="204" t="str">
        <f t="shared" si="11"/>
        <v xml:space="preserve">  </v>
      </c>
      <c r="AA124" s="204" t="str">
        <f t="shared" si="11"/>
        <v xml:space="preserve">  </v>
      </c>
      <c r="AB124" s="204" t="str">
        <f t="shared" si="20"/>
        <v xml:space="preserve">  </v>
      </c>
      <c r="AC124" s="204" t="str">
        <f t="shared" si="20"/>
        <v/>
      </c>
    </row>
    <row r="125" spans="1:29" x14ac:dyDescent="0.3">
      <c r="A125" s="202">
        <v>41398</v>
      </c>
      <c r="B125" s="203">
        <f t="shared" si="12"/>
        <v>5</v>
      </c>
      <c r="C125" s="203">
        <f t="shared" si="13"/>
        <v>1</v>
      </c>
      <c r="D125" s="201">
        <f t="shared" si="14"/>
        <v>217.34190322580645</v>
      </c>
      <c r="E125" s="201">
        <f t="shared" si="15"/>
        <v>271.86164516129031</v>
      </c>
      <c r="F125" s="201">
        <f t="shared" si="16"/>
        <v>0</v>
      </c>
      <c r="G125" s="201">
        <f>SUM(D$2:D125)</f>
        <v>869.36761290322579</v>
      </c>
      <c r="H125" s="201">
        <f>SUM(E$2:E125)</f>
        <v>1087.4465806451612</v>
      </c>
      <c r="I125" s="201">
        <f>SUM(F$2:F125)</f>
        <v>0</v>
      </c>
      <c r="J125" s="201">
        <f>Model!F$51</f>
        <v>23678.322499999998</v>
      </c>
      <c r="K125" s="201">
        <f>Model!G$51</f>
        <v>26052.648000000005</v>
      </c>
      <c r="L125" s="201">
        <f>Model!H$51</f>
        <v>27478.056499999995</v>
      </c>
      <c r="M125" s="201">
        <f>Model!I$51</f>
        <v>28903.236999999997</v>
      </c>
      <c r="N125" s="201">
        <f>Model!J$51</f>
        <v>29853.18</v>
      </c>
      <c r="O125" s="201">
        <f>Model!K$51</f>
        <v>0</v>
      </c>
      <c r="P125" s="201">
        <f>Model!L$51</f>
        <v>0</v>
      </c>
      <c r="Q125" s="201">
        <f>Model!M$51</f>
        <v>0</v>
      </c>
      <c r="R125" s="201">
        <f>Model!N$51</f>
        <v>0</v>
      </c>
      <c r="S125" s="201">
        <f>Model!R$51</f>
        <v>25000</v>
      </c>
      <c r="T125" s="204" t="str">
        <f t="shared" si="17"/>
        <v/>
      </c>
      <c r="U125" s="204" t="str">
        <f t="shared" si="18"/>
        <v/>
      </c>
      <c r="V125" s="204" t="str">
        <f t="shared" si="19"/>
        <v/>
      </c>
      <c r="W125" s="204" t="str">
        <f t="shared" si="17"/>
        <v/>
      </c>
      <c r="X125" s="204" t="str">
        <f t="shared" si="11"/>
        <v/>
      </c>
      <c r="Y125" s="204" t="str">
        <f t="shared" si="11"/>
        <v xml:space="preserve">  </v>
      </c>
      <c r="Z125" s="204" t="str">
        <f t="shared" si="11"/>
        <v xml:space="preserve">  </v>
      </c>
      <c r="AA125" s="204" t="str">
        <f t="shared" si="11"/>
        <v xml:space="preserve">  </v>
      </c>
      <c r="AB125" s="204" t="str">
        <f t="shared" si="20"/>
        <v xml:space="preserve">  </v>
      </c>
      <c r="AC125" s="204" t="str">
        <f t="shared" si="20"/>
        <v/>
      </c>
    </row>
    <row r="126" spans="1:29" x14ac:dyDescent="0.3">
      <c r="A126" s="202">
        <v>41399</v>
      </c>
      <c r="B126" s="203">
        <f t="shared" si="12"/>
        <v>5</v>
      </c>
      <c r="C126" s="203">
        <f t="shared" si="13"/>
        <v>1</v>
      </c>
      <c r="D126" s="201">
        <f t="shared" si="14"/>
        <v>217.34190322580645</v>
      </c>
      <c r="E126" s="201">
        <f t="shared" si="15"/>
        <v>271.86164516129031</v>
      </c>
      <c r="F126" s="201">
        <f t="shared" si="16"/>
        <v>0</v>
      </c>
      <c r="G126" s="201">
        <f>SUM(D$2:D126)</f>
        <v>1086.7095161290322</v>
      </c>
      <c r="H126" s="201">
        <f>SUM(E$2:E126)</f>
        <v>1359.3082258064514</v>
      </c>
      <c r="I126" s="201">
        <f>SUM(F$2:F126)</f>
        <v>0</v>
      </c>
      <c r="J126" s="201">
        <f>Model!F$51</f>
        <v>23678.322499999998</v>
      </c>
      <c r="K126" s="201">
        <f>Model!G$51</f>
        <v>26052.648000000005</v>
      </c>
      <c r="L126" s="201">
        <f>Model!H$51</f>
        <v>27478.056499999995</v>
      </c>
      <c r="M126" s="201">
        <f>Model!I$51</f>
        <v>28903.236999999997</v>
      </c>
      <c r="N126" s="201">
        <f>Model!J$51</f>
        <v>29853.18</v>
      </c>
      <c r="O126" s="201">
        <f>Model!K$51</f>
        <v>0</v>
      </c>
      <c r="P126" s="201">
        <f>Model!L$51</f>
        <v>0</v>
      </c>
      <c r="Q126" s="201">
        <f>Model!M$51</f>
        <v>0</v>
      </c>
      <c r="R126" s="201">
        <f>Model!N$51</f>
        <v>0</v>
      </c>
      <c r="S126" s="201">
        <f>Model!R$51</f>
        <v>25000</v>
      </c>
      <c r="T126" s="204" t="str">
        <f t="shared" si="17"/>
        <v/>
      </c>
      <c r="U126" s="204" t="str">
        <f t="shared" si="18"/>
        <v/>
      </c>
      <c r="V126" s="204" t="str">
        <f t="shared" si="19"/>
        <v/>
      </c>
      <c r="W126" s="204" t="str">
        <f t="shared" si="17"/>
        <v/>
      </c>
      <c r="X126" s="204" t="str">
        <f t="shared" ref="X126:AA189" si="21">IF(ISNUMBER(X125),"  ",IF(X125="  ","  ",IF($G126&gt;N126,$A126,"")))</f>
        <v/>
      </c>
      <c r="Y126" s="204" t="str">
        <f t="shared" si="21"/>
        <v xml:space="preserve">  </v>
      </c>
      <c r="Z126" s="204" t="str">
        <f t="shared" si="21"/>
        <v xml:space="preserve">  </v>
      </c>
      <c r="AA126" s="204" t="str">
        <f t="shared" si="21"/>
        <v xml:space="preserve">  </v>
      </c>
      <c r="AB126" s="204" t="str">
        <f t="shared" si="20"/>
        <v xml:space="preserve">  </v>
      </c>
      <c r="AC126" s="204" t="str">
        <f t="shared" si="20"/>
        <v/>
      </c>
    </row>
    <row r="127" spans="1:29" x14ac:dyDescent="0.3">
      <c r="A127" s="202">
        <v>41400</v>
      </c>
      <c r="B127" s="203">
        <f t="shared" si="12"/>
        <v>5</v>
      </c>
      <c r="C127" s="203">
        <f t="shared" si="13"/>
        <v>1</v>
      </c>
      <c r="D127" s="201">
        <f t="shared" si="14"/>
        <v>217.34190322580645</v>
      </c>
      <c r="E127" s="201">
        <f t="shared" si="15"/>
        <v>271.86164516129031</v>
      </c>
      <c r="F127" s="201">
        <f t="shared" si="16"/>
        <v>0</v>
      </c>
      <c r="G127" s="201">
        <f>SUM(D$2:D127)</f>
        <v>1304.0514193548386</v>
      </c>
      <c r="H127" s="201">
        <f>SUM(E$2:E127)</f>
        <v>1631.1698709677416</v>
      </c>
      <c r="I127" s="201">
        <f>SUM(F$2:F127)</f>
        <v>0</v>
      </c>
      <c r="J127" s="201">
        <f>Model!F$51</f>
        <v>23678.322499999998</v>
      </c>
      <c r="K127" s="201">
        <f>Model!G$51</f>
        <v>26052.648000000005</v>
      </c>
      <c r="L127" s="201">
        <f>Model!H$51</f>
        <v>27478.056499999995</v>
      </c>
      <c r="M127" s="201">
        <f>Model!I$51</f>
        <v>28903.236999999997</v>
      </c>
      <c r="N127" s="201">
        <f>Model!J$51</f>
        <v>29853.18</v>
      </c>
      <c r="O127" s="201">
        <f>Model!K$51</f>
        <v>0</v>
      </c>
      <c r="P127" s="201">
        <f>Model!L$51</f>
        <v>0</v>
      </c>
      <c r="Q127" s="201">
        <f>Model!M$51</f>
        <v>0</v>
      </c>
      <c r="R127" s="201">
        <f>Model!N$51</f>
        <v>0</v>
      </c>
      <c r="S127" s="201">
        <f>Model!R$51</f>
        <v>25000</v>
      </c>
      <c r="T127" s="204" t="str">
        <f t="shared" si="17"/>
        <v/>
      </c>
      <c r="U127" s="204" t="str">
        <f t="shared" si="18"/>
        <v/>
      </c>
      <c r="V127" s="204" t="str">
        <f t="shared" si="19"/>
        <v/>
      </c>
      <c r="W127" s="204" t="str">
        <f t="shared" si="17"/>
        <v/>
      </c>
      <c r="X127" s="204" t="str">
        <f t="shared" si="21"/>
        <v/>
      </c>
      <c r="Y127" s="204" t="str">
        <f t="shared" si="21"/>
        <v xml:space="preserve">  </v>
      </c>
      <c r="Z127" s="204" t="str">
        <f t="shared" si="21"/>
        <v xml:space="preserve">  </v>
      </c>
      <c r="AA127" s="204" t="str">
        <f t="shared" si="21"/>
        <v xml:space="preserve">  </v>
      </c>
      <c r="AB127" s="204" t="str">
        <f t="shared" si="20"/>
        <v xml:space="preserve">  </v>
      </c>
      <c r="AC127" s="204" t="str">
        <f t="shared" si="20"/>
        <v/>
      </c>
    </row>
    <row r="128" spans="1:29" x14ac:dyDescent="0.3">
      <c r="A128" s="202">
        <v>41401</v>
      </c>
      <c r="B128" s="203">
        <f t="shared" si="12"/>
        <v>5</v>
      </c>
      <c r="C128" s="203">
        <f t="shared" si="13"/>
        <v>1</v>
      </c>
      <c r="D128" s="201">
        <f t="shared" si="14"/>
        <v>217.34190322580645</v>
      </c>
      <c r="E128" s="201">
        <f t="shared" si="15"/>
        <v>271.86164516129031</v>
      </c>
      <c r="F128" s="201">
        <f t="shared" si="16"/>
        <v>0</v>
      </c>
      <c r="G128" s="201">
        <f>SUM(D$2:D128)</f>
        <v>1521.393322580645</v>
      </c>
      <c r="H128" s="201">
        <f>SUM(E$2:E128)</f>
        <v>1903.0315161290318</v>
      </c>
      <c r="I128" s="201">
        <f>SUM(F$2:F128)</f>
        <v>0</v>
      </c>
      <c r="J128" s="201">
        <f>Model!F$51</f>
        <v>23678.322499999998</v>
      </c>
      <c r="K128" s="201">
        <f>Model!G$51</f>
        <v>26052.648000000005</v>
      </c>
      <c r="L128" s="201">
        <f>Model!H$51</f>
        <v>27478.056499999995</v>
      </c>
      <c r="M128" s="201">
        <f>Model!I$51</f>
        <v>28903.236999999997</v>
      </c>
      <c r="N128" s="201">
        <f>Model!J$51</f>
        <v>29853.18</v>
      </c>
      <c r="O128" s="201">
        <f>Model!K$51</f>
        <v>0</v>
      </c>
      <c r="P128" s="201">
        <f>Model!L$51</f>
        <v>0</v>
      </c>
      <c r="Q128" s="201">
        <f>Model!M$51</f>
        <v>0</v>
      </c>
      <c r="R128" s="201">
        <f>Model!N$51</f>
        <v>0</v>
      </c>
      <c r="S128" s="201">
        <f>Model!R$51</f>
        <v>25000</v>
      </c>
      <c r="T128" s="204" t="str">
        <f t="shared" si="17"/>
        <v/>
      </c>
      <c r="U128" s="204" t="str">
        <f t="shared" si="18"/>
        <v/>
      </c>
      <c r="V128" s="204" t="str">
        <f t="shared" si="19"/>
        <v/>
      </c>
      <c r="W128" s="204" t="str">
        <f t="shared" si="17"/>
        <v/>
      </c>
      <c r="X128" s="204" t="str">
        <f t="shared" si="21"/>
        <v/>
      </c>
      <c r="Y128" s="204" t="str">
        <f t="shared" si="21"/>
        <v xml:space="preserve">  </v>
      </c>
      <c r="Z128" s="204" t="str">
        <f t="shared" si="21"/>
        <v xml:space="preserve">  </v>
      </c>
      <c r="AA128" s="204" t="str">
        <f t="shared" si="21"/>
        <v xml:space="preserve">  </v>
      </c>
      <c r="AB128" s="204" t="str">
        <f t="shared" si="20"/>
        <v xml:space="preserve">  </v>
      </c>
      <c r="AC128" s="204" t="str">
        <f t="shared" si="20"/>
        <v/>
      </c>
    </row>
    <row r="129" spans="1:29" x14ac:dyDescent="0.3">
      <c r="A129" s="202">
        <v>41402</v>
      </c>
      <c r="B129" s="203">
        <f t="shared" si="12"/>
        <v>5</v>
      </c>
      <c r="C129" s="203">
        <f t="shared" si="13"/>
        <v>1</v>
      </c>
      <c r="D129" s="201">
        <f t="shared" si="14"/>
        <v>217.34190322580645</v>
      </c>
      <c r="E129" s="201">
        <f t="shared" si="15"/>
        <v>271.86164516129031</v>
      </c>
      <c r="F129" s="201">
        <f t="shared" si="16"/>
        <v>0</v>
      </c>
      <c r="G129" s="201">
        <f>SUM(D$2:D129)</f>
        <v>1738.7352258064514</v>
      </c>
      <c r="H129" s="201">
        <f>SUM(E$2:E129)</f>
        <v>2174.893161290322</v>
      </c>
      <c r="I129" s="201">
        <f>SUM(F$2:F129)</f>
        <v>0</v>
      </c>
      <c r="J129" s="201">
        <f>Model!F$51</f>
        <v>23678.322499999998</v>
      </c>
      <c r="K129" s="201">
        <f>Model!G$51</f>
        <v>26052.648000000005</v>
      </c>
      <c r="L129" s="201">
        <f>Model!H$51</f>
        <v>27478.056499999995</v>
      </c>
      <c r="M129" s="201">
        <f>Model!I$51</f>
        <v>28903.236999999997</v>
      </c>
      <c r="N129" s="201">
        <f>Model!J$51</f>
        <v>29853.18</v>
      </c>
      <c r="O129" s="201">
        <f>Model!K$51</f>
        <v>0</v>
      </c>
      <c r="P129" s="201">
        <f>Model!L$51</f>
        <v>0</v>
      </c>
      <c r="Q129" s="201">
        <f>Model!M$51</f>
        <v>0</v>
      </c>
      <c r="R129" s="201">
        <f>Model!N$51</f>
        <v>0</v>
      </c>
      <c r="S129" s="201">
        <f>Model!R$51</f>
        <v>25000</v>
      </c>
      <c r="T129" s="204" t="str">
        <f t="shared" si="17"/>
        <v/>
      </c>
      <c r="U129" s="204" t="str">
        <f t="shared" si="18"/>
        <v/>
      </c>
      <c r="V129" s="204" t="str">
        <f t="shared" si="19"/>
        <v/>
      </c>
      <c r="W129" s="204" t="str">
        <f t="shared" si="17"/>
        <v/>
      </c>
      <c r="X129" s="204" t="str">
        <f t="shared" si="21"/>
        <v/>
      </c>
      <c r="Y129" s="204" t="str">
        <f t="shared" si="21"/>
        <v xml:space="preserve">  </v>
      </c>
      <c r="Z129" s="204" t="str">
        <f t="shared" si="21"/>
        <v xml:space="preserve">  </v>
      </c>
      <c r="AA129" s="204" t="str">
        <f t="shared" si="21"/>
        <v xml:space="preserve">  </v>
      </c>
      <c r="AB129" s="204" t="str">
        <f t="shared" si="20"/>
        <v xml:space="preserve">  </v>
      </c>
      <c r="AC129" s="204" t="str">
        <f t="shared" si="20"/>
        <v/>
      </c>
    </row>
    <row r="130" spans="1:29" x14ac:dyDescent="0.3">
      <c r="A130" s="202">
        <v>41403</v>
      </c>
      <c r="B130" s="203">
        <f t="shared" ref="B130:B193" si="22">MONTH(A130)</f>
        <v>5</v>
      </c>
      <c r="C130" s="203">
        <f t="shared" ref="C130:C193" si="23">IF(VLOOKUP($B130,$AE$2:$AF$15,2,FALSE)=0,1,IF(VLOOKUP($B130,$AE$2:$AF$15,2,FALSE)=VLOOKUP($B130,$AE$2:$AG$15,3,FALSE),0,IF(AND((VLOOKUP(($B130-1),$AE$2:$AF$15,2,FALSE)&gt;=1),VLOOKUP($B130,$AE$2:$AF$15,2,FALSE)&gt;=DAY(A130)),0,IF(AND((VLOOKUP(($B130+1),$AE$2:$AF$15,2,FALSE)&gt;=1),DAY(A130)&gt;(VLOOKUP($B130,$AE$2:$AG$15,3,FALSE)-VLOOKUP($B130,$AE$2:$AF$15,2,FALSE))),0,1))))</f>
        <v>1</v>
      </c>
      <c r="D130" s="201">
        <f t="shared" ref="D130:D193" si="24">IF(C130=0,0,VLOOKUP(B130,$AE$3:$AH$14,4,FALSE))</f>
        <v>217.34190322580645</v>
      </c>
      <c r="E130" s="201">
        <f t="shared" ref="E130:E193" si="25">IF(C130=0,0,VLOOKUP(B130,$AE$3:$AJ$14,5,FALSE))</f>
        <v>271.86164516129031</v>
      </c>
      <c r="F130" s="201">
        <f t="shared" ref="F130:F193" si="26">IF(C130=0,0,VLOOKUP(B130,$AE$3:$AJ$14,6,FALSE))</f>
        <v>0</v>
      </c>
      <c r="G130" s="201">
        <f>SUM(D$2:D130)</f>
        <v>1956.0771290322577</v>
      </c>
      <c r="H130" s="201">
        <f>SUM(E$2:E130)</f>
        <v>2446.7548064516122</v>
      </c>
      <c r="I130" s="201">
        <f>SUM(F$2:F130)</f>
        <v>0</v>
      </c>
      <c r="J130" s="201">
        <f>Model!F$51</f>
        <v>23678.322499999998</v>
      </c>
      <c r="K130" s="201">
        <f>Model!G$51</f>
        <v>26052.648000000005</v>
      </c>
      <c r="L130" s="201">
        <f>Model!H$51</f>
        <v>27478.056499999995</v>
      </c>
      <c r="M130" s="201">
        <f>Model!I$51</f>
        <v>28903.236999999997</v>
      </c>
      <c r="N130" s="201">
        <f>Model!J$51</f>
        <v>29853.18</v>
      </c>
      <c r="O130" s="201">
        <f>Model!K$51</f>
        <v>0</v>
      </c>
      <c r="P130" s="201">
        <f>Model!L$51</f>
        <v>0</v>
      </c>
      <c r="Q130" s="201">
        <f>Model!M$51</f>
        <v>0</v>
      </c>
      <c r="R130" s="201">
        <f>Model!N$51</f>
        <v>0</v>
      </c>
      <c r="S130" s="201">
        <f>Model!R$51</f>
        <v>25000</v>
      </c>
      <c r="T130" s="204" t="str">
        <f t="shared" si="17"/>
        <v/>
      </c>
      <c r="U130" s="204" t="str">
        <f t="shared" si="18"/>
        <v/>
      </c>
      <c r="V130" s="204" t="str">
        <f t="shared" si="19"/>
        <v/>
      </c>
      <c r="W130" s="204" t="str">
        <f t="shared" ref="W130:W161" si="27">IF(ISNUMBER(W129),"  ",IF(W129="  ","  ",IF($G130&gt;M130,$A130,"")))</f>
        <v/>
      </c>
      <c r="X130" s="204" t="str">
        <f t="shared" si="21"/>
        <v/>
      </c>
      <c r="Y130" s="204" t="str">
        <f t="shared" si="21"/>
        <v xml:space="preserve">  </v>
      </c>
      <c r="Z130" s="204" t="str">
        <f t="shared" si="21"/>
        <v xml:space="preserve">  </v>
      </c>
      <c r="AA130" s="204" t="str">
        <f t="shared" si="21"/>
        <v xml:space="preserve">  </v>
      </c>
      <c r="AB130" s="204" t="str">
        <f t="shared" si="20"/>
        <v xml:space="preserve">  </v>
      </c>
      <c r="AC130" s="204" t="str">
        <f t="shared" si="20"/>
        <v/>
      </c>
    </row>
    <row r="131" spans="1:29" x14ac:dyDescent="0.3">
      <c r="A131" s="202">
        <v>41404</v>
      </c>
      <c r="B131" s="203">
        <f t="shared" si="22"/>
        <v>5</v>
      </c>
      <c r="C131" s="203">
        <f t="shared" si="23"/>
        <v>1</v>
      </c>
      <c r="D131" s="201">
        <f t="shared" si="24"/>
        <v>217.34190322580645</v>
      </c>
      <c r="E131" s="201">
        <f t="shared" si="25"/>
        <v>271.86164516129031</v>
      </c>
      <c r="F131" s="201">
        <f t="shared" si="26"/>
        <v>0</v>
      </c>
      <c r="G131" s="201">
        <f>SUM(D$2:D131)</f>
        <v>2173.4190322580644</v>
      </c>
      <c r="H131" s="201">
        <f>SUM(E$2:E131)</f>
        <v>2718.6164516129024</v>
      </c>
      <c r="I131" s="201">
        <f>SUM(F$2:F131)</f>
        <v>0</v>
      </c>
      <c r="J131" s="201">
        <f>Model!F$51</f>
        <v>23678.322499999998</v>
      </c>
      <c r="K131" s="201">
        <f>Model!G$51</f>
        <v>26052.648000000005</v>
      </c>
      <c r="L131" s="201">
        <f>Model!H$51</f>
        <v>27478.056499999995</v>
      </c>
      <c r="M131" s="201">
        <f>Model!I$51</f>
        <v>28903.236999999997</v>
      </c>
      <c r="N131" s="201">
        <f>Model!J$51</f>
        <v>29853.18</v>
      </c>
      <c r="O131" s="201">
        <f>Model!K$51</f>
        <v>0</v>
      </c>
      <c r="P131" s="201">
        <f>Model!L$51</f>
        <v>0</v>
      </c>
      <c r="Q131" s="201">
        <f>Model!M$51</f>
        <v>0</v>
      </c>
      <c r="R131" s="201">
        <f>Model!N$51</f>
        <v>0</v>
      </c>
      <c r="S131" s="201">
        <f>Model!R$51</f>
        <v>25000</v>
      </c>
      <c r="T131" s="204" t="str">
        <f t="shared" ref="T131:T162" si="28">IF(ISNUMBER(T130),"  ",IF(T130="  ","  ",IF($G131&gt;J131,$A131,"")))</f>
        <v/>
      </c>
      <c r="U131" s="204" t="str">
        <f t="shared" ref="U131:U194" si="29">IF(ISNUMBER(U130),"  ",IF(U130="  ","  ",IF($G131&gt;L131,$A131,"")))</f>
        <v/>
      </c>
      <c r="V131" s="204" t="str">
        <f t="shared" ref="V131:V194" si="30">IF(ISNUMBER(V130),"  ",IF(V130="  ","  ",IF($G131&gt;N131,$A131,"")))</f>
        <v/>
      </c>
      <c r="W131" s="204" t="str">
        <f t="shared" si="27"/>
        <v/>
      </c>
      <c r="X131" s="204" t="str">
        <f t="shared" si="21"/>
        <v/>
      </c>
      <c r="Y131" s="204" t="str">
        <f t="shared" si="21"/>
        <v xml:space="preserve">  </v>
      </c>
      <c r="Z131" s="204" t="str">
        <f t="shared" si="21"/>
        <v xml:space="preserve">  </v>
      </c>
      <c r="AA131" s="204" t="str">
        <f t="shared" si="21"/>
        <v xml:space="preserve">  </v>
      </c>
      <c r="AB131" s="204" t="str">
        <f t="shared" si="20"/>
        <v xml:space="preserve">  </v>
      </c>
      <c r="AC131" s="204" t="str">
        <f t="shared" si="20"/>
        <v/>
      </c>
    </row>
    <row r="132" spans="1:29" x14ac:dyDescent="0.3">
      <c r="A132" s="202">
        <v>41405</v>
      </c>
      <c r="B132" s="203">
        <f t="shared" si="22"/>
        <v>5</v>
      </c>
      <c r="C132" s="203">
        <f t="shared" si="23"/>
        <v>1</v>
      </c>
      <c r="D132" s="201">
        <f t="shared" si="24"/>
        <v>217.34190322580645</v>
      </c>
      <c r="E132" s="201">
        <f t="shared" si="25"/>
        <v>271.86164516129031</v>
      </c>
      <c r="F132" s="201">
        <f t="shared" si="26"/>
        <v>0</v>
      </c>
      <c r="G132" s="201">
        <f>SUM(D$2:D132)</f>
        <v>2390.760935483871</v>
      </c>
      <c r="H132" s="201">
        <f>SUM(E$2:E132)</f>
        <v>2990.4780967741926</v>
      </c>
      <c r="I132" s="201">
        <f>SUM(F$2:F132)</f>
        <v>0</v>
      </c>
      <c r="J132" s="201">
        <f>Model!F$51</f>
        <v>23678.322499999998</v>
      </c>
      <c r="K132" s="201">
        <f>Model!G$51</f>
        <v>26052.648000000005</v>
      </c>
      <c r="L132" s="201">
        <f>Model!H$51</f>
        <v>27478.056499999995</v>
      </c>
      <c r="M132" s="201">
        <f>Model!I$51</f>
        <v>28903.236999999997</v>
      </c>
      <c r="N132" s="201">
        <f>Model!J$51</f>
        <v>29853.18</v>
      </c>
      <c r="O132" s="201">
        <f>Model!K$51</f>
        <v>0</v>
      </c>
      <c r="P132" s="201">
        <f>Model!L$51</f>
        <v>0</v>
      </c>
      <c r="Q132" s="201">
        <f>Model!M$51</f>
        <v>0</v>
      </c>
      <c r="R132" s="201">
        <f>Model!N$51</f>
        <v>0</v>
      </c>
      <c r="S132" s="201">
        <f>Model!R$51</f>
        <v>25000</v>
      </c>
      <c r="T132" s="204" t="str">
        <f t="shared" si="28"/>
        <v/>
      </c>
      <c r="U132" s="204" t="str">
        <f t="shared" si="29"/>
        <v/>
      </c>
      <c r="V132" s="204" t="str">
        <f t="shared" si="30"/>
        <v/>
      </c>
      <c r="W132" s="204" t="str">
        <f t="shared" si="27"/>
        <v/>
      </c>
      <c r="X132" s="204" t="str">
        <f t="shared" si="21"/>
        <v/>
      </c>
      <c r="Y132" s="204" t="str">
        <f t="shared" si="21"/>
        <v xml:space="preserve">  </v>
      </c>
      <c r="Z132" s="204" t="str">
        <f t="shared" si="21"/>
        <v xml:space="preserve">  </v>
      </c>
      <c r="AA132" s="204" t="str">
        <f t="shared" si="21"/>
        <v xml:space="preserve">  </v>
      </c>
      <c r="AB132" s="204" t="str">
        <f t="shared" si="20"/>
        <v xml:space="preserve">  </v>
      </c>
      <c r="AC132" s="204" t="str">
        <f t="shared" si="20"/>
        <v/>
      </c>
    </row>
    <row r="133" spans="1:29" x14ac:dyDescent="0.3">
      <c r="A133" s="202">
        <v>41406</v>
      </c>
      <c r="B133" s="203">
        <f t="shared" si="22"/>
        <v>5</v>
      </c>
      <c r="C133" s="203">
        <f t="shared" si="23"/>
        <v>1</v>
      </c>
      <c r="D133" s="201">
        <f t="shared" si="24"/>
        <v>217.34190322580645</v>
      </c>
      <c r="E133" s="201">
        <f t="shared" si="25"/>
        <v>271.86164516129031</v>
      </c>
      <c r="F133" s="201">
        <f t="shared" si="26"/>
        <v>0</v>
      </c>
      <c r="G133" s="201">
        <f>SUM(D$2:D133)</f>
        <v>2608.1028387096776</v>
      </c>
      <c r="H133" s="201">
        <f>SUM(E$2:E133)</f>
        <v>3262.3397419354828</v>
      </c>
      <c r="I133" s="201">
        <f>SUM(F$2:F133)</f>
        <v>0</v>
      </c>
      <c r="J133" s="201">
        <f>Model!F$51</f>
        <v>23678.322499999998</v>
      </c>
      <c r="K133" s="201">
        <f>Model!G$51</f>
        <v>26052.648000000005</v>
      </c>
      <c r="L133" s="201">
        <f>Model!H$51</f>
        <v>27478.056499999995</v>
      </c>
      <c r="M133" s="201">
        <f>Model!I$51</f>
        <v>28903.236999999997</v>
      </c>
      <c r="N133" s="201">
        <f>Model!J$51</f>
        <v>29853.18</v>
      </c>
      <c r="O133" s="201">
        <f>Model!K$51</f>
        <v>0</v>
      </c>
      <c r="P133" s="201">
        <f>Model!L$51</f>
        <v>0</v>
      </c>
      <c r="Q133" s="201">
        <f>Model!M$51</f>
        <v>0</v>
      </c>
      <c r="R133" s="201">
        <f>Model!N$51</f>
        <v>0</v>
      </c>
      <c r="S133" s="201">
        <f>Model!R$51</f>
        <v>25000</v>
      </c>
      <c r="T133" s="204" t="str">
        <f t="shared" si="28"/>
        <v/>
      </c>
      <c r="U133" s="204" t="str">
        <f t="shared" si="29"/>
        <v/>
      </c>
      <c r="V133" s="204" t="str">
        <f t="shared" si="30"/>
        <v/>
      </c>
      <c r="W133" s="204" t="str">
        <f t="shared" si="27"/>
        <v/>
      </c>
      <c r="X133" s="204" t="str">
        <f t="shared" si="21"/>
        <v/>
      </c>
      <c r="Y133" s="204" t="str">
        <f t="shared" si="21"/>
        <v xml:space="preserve">  </v>
      </c>
      <c r="Z133" s="204" t="str">
        <f t="shared" si="21"/>
        <v xml:space="preserve">  </v>
      </c>
      <c r="AA133" s="204" t="str">
        <f t="shared" si="21"/>
        <v xml:space="preserve">  </v>
      </c>
      <c r="AB133" s="204" t="str">
        <f t="shared" si="20"/>
        <v xml:space="preserve">  </v>
      </c>
      <c r="AC133" s="204" t="str">
        <f t="shared" si="20"/>
        <v/>
      </c>
    </row>
    <row r="134" spans="1:29" x14ac:dyDescent="0.3">
      <c r="A134" s="202">
        <v>41407</v>
      </c>
      <c r="B134" s="203">
        <f t="shared" si="22"/>
        <v>5</v>
      </c>
      <c r="C134" s="203">
        <f t="shared" si="23"/>
        <v>1</v>
      </c>
      <c r="D134" s="201">
        <f t="shared" si="24"/>
        <v>217.34190322580645</v>
      </c>
      <c r="E134" s="201">
        <f t="shared" si="25"/>
        <v>271.86164516129031</v>
      </c>
      <c r="F134" s="201">
        <f t="shared" si="26"/>
        <v>0</v>
      </c>
      <c r="G134" s="201">
        <f>SUM(D$2:D134)</f>
        <v>2825.4447419354842</v>
      </c>
      <c r="H134" s="201">
        <f>SUM(E$2:E134)</f>
        <v>3534.201387096773</v>
      </c>
      <c r="I134" s="201">
        <f>SUM(F$2:F134)</f>
        <v>0</v>
      </c>
      <c r="J134" s="201">
        <f>Model!F$51</f>
        <v>23678.322499999998</v>
      </c>
      <c r="K134" s="201">
        <f>Model!G$51</f>
        <v>26052.648000000005</v>
      </c>
      <c r="L134" s="201">
        <f>Model!H$51</f>
        <v>27478.056499999995</v>
      </c>
      <c r="M134" s="201">
        <f>Model!I$51</f>
        <v>28903.236999999997</v>
      </c>
      <c r="N134" s="201">
        <f>Model!J$51</f>
        <v>29853.18</v>
      </c>
      <c r="O134" s="201">
        <f>Model!K$51</f>
        <v>0</v>
      </c>
      <c r="P134" s="201">
        <f>Model!L$51</f>
        <v>0</v>
      </c>
      <c r="Q134" s="201">
        <f>Model!M$51</f>
        <v>0</v>
      </c>
      <c r="R134" s="201">
        <f>Model!N$51</f>
        <v>0</v>
      </c>
      <c r="S134" s="201">
        <f>Model!R$51</f>
        <v>25000</v>
      </c>
      <c r="T134" s="204" t="str">
        <f t="shared" si="28"/>
        <v/>
      </c>
      <c r="U134" s="204" t="str">
        <f t="shared" si="29"/>
        <v/>
      </c>
      <c r="V134" s="204" t="str">
        <f t="shared" si="30"/>
        <v/>
      </c>
      <c r="W134" s="204" t="str">
        <f t="shared" si="27"/>
        <v/>
      </c>
      <c r="X134" s="204" t="str">
        <f t="shared" si="21"/>
        <v/>
      </c>
      <c r="Y134" s="204" t="str">
        <f t="shared" si="21"/>
        <v xml:space="preserve">  </v>
      </c>
      <c r="Z134" s="204" t="str">
        <f t="shared" si="21"/>
        <v xml:space="preserve">  </v>
      </c>
      <c r="AA134" s="204" t="str">
        <f t="shared" si="21"/>
        <v xml:space="preserve">  </v>
      </c>
      <c r="AB134" s="204" t="str">
        <f t="shared" si="20"/>
        <v xml:space="preserve">  </v>
      </c>
      <c r="AC134" s="204" t="str">
        <f t="shared" si="20"/>
        <v/>
      </c>
    </row>
    <row r="135" spans="1:29" x14ac:dyDescent="0.3">
      <c r="A135" s="202">
        <v>41408</v>
      </c>
      <c r="B135" s="203">
        <f t="shared" si="22"/>
        <v>5</v>
      </c>
      <c r="C135" s="203">
        <f t="shared" si="23"/>
        <v>1</v>
      </c>
      <c r="D135" s="201">
        <f t="shared" si="24"/>
        <v>217.34190322580645</v>
      </c>
      <c r="E135" s="201">
        <f t="shared" si="25"/>
        <v>271.86164516129031</v>
      </c>
      <c r="F135" s="201">
        <f t="shared" si="26"/>
        <v>0</v>
      </c>
      <c r="G135" s="201">
        <f>SUM(D$2:D135)</f>
        <v>3042.7866451612908</v>
      </c>
      <c r="H135" s="201">
        <f>SUM(E$2:E135)</f>
        <v>3806.0630322580632</v>
      </c>
      <c r="I135" s="201">
        <f>SUM(F$2:F135)</f>
        <v>0</v>
      </c>
      <c r="J135" s="201">
        <f>Model!F$51</f>
        <v>23678.322499999998</v>
      </c>
      <c r="K135" s="201">
        <f>Model!G$51</f>
        <v>26052.648000000005</v>
      </c>
      <c r="L135" s="201">
        <f>Model!H$51</f>
        <v>27478.056499999995</v>
      </c>
      <c r="M135" s="201">
        <f>Model!I$51</f>
        <v>28903.236999999997</v>
      </c>
      <c r="N135" s="201">
        <f>Model!J$51</f>
        <v>29853.18</v>
      </c>
      <c r="O135" s="201">
        <f>Model!K$51</f>
        <v>0</v>
      </c>
      <c r="P135" s="201">
        <f>Model!L$51</f>
        <v>0</v>
      </c>
      <c r="Q135" s="201">
        <f>Model!M$51</f>
        <v>0</v>
      </c>
      <c r="R135" s="201">
        <f>Model!N$51</f>
        <v>0</v>
      </c>
      <c r="S135" s="201">
        <f>Model!R$51</f>
        <v>25000</v>
      </c>
      <c r="T135" s="204" t="str">
        <f t="shared" si="28"/>
        <v/>
      </c>
      <c r="U135" s="204" t="str">
        <f t="shared" si="29"/>
        <v/>
      </c>
      <c r="V135" s="204" t="str">
        <f t="shared" si="30"/>
        <v/>
      </c>
      <c r="W135" s="204" t="str">
        <f t="shared" si="27"/>
        <v/>
      </c>
      <c r="X135" s="204" t="str">
        <f t="shared" si="21"/>
        <v/>
      </c>
      <c r="Y135" s="204" t="str">
        <f t="shared" si="21"/>
        <v xml:space="preserve">  </v>
      </c>
      <c r="Z135" s="204" t="str">
        <f t="shared" si="21"/>
        <v xml:space="preserve">  </v>
      </c>
      <c r="AA135" s="204" t="str">
        <f t="shared" si="21"/>
        <v xml:space="preserve">  </v>
      </c>
      <c r="AB135" s="204" t="str">
        <f t="shared" si="20"/>
        <v xml:space="preserve">  </v>
      </c>
      <c r="AC135" s="204" t="str">
        <f t="shared" si="20"/>
        <v/>
      </c>
    </row>
    <row r="136" spans="1:29" x14ac:dyDescent="0.3">
      <c r="A136" s="202">
        <v>41409</v>
      </c>
      <c r="B136" s="203">
        <f t="shared" si="22"/>
        <v>5</v>
      </c>
      <c r="C136" s="203">
        <f t="shared" si="23"/>
        <v>1</v>
      </c>
      <c r="D136" s="201">
        <f t="shared" si="24"/>
        <v>217.34190322580645</v>
      </c>
      <c r="E136" s="201">
        <f t="shared" si="25"/>
        <v>271.86164516129031</v>
      </c>
      <c r="F136" s="201">
        <f t="shared" si="26"/>
        <v>0</v>
      </c>
      <c r="G136" s="201">
        <f>SUM(D$2:D136)</f>
        <v>3260.1285483870975</v>
      </c>
      <c r="H136" s="201">
        <f>SUM(E$2:E136)</f>
        <v>4077.9246774193534</v>
      </c>
      <c r="I136" s="201">
        <f>SUM(F$2:F136)</f>
        <v>0</v>
      </c>
      <c r="J136" s="201">
        <f>Model!F$51</f>
        <v>23678.322499999998</v>
      </c>
      <c r="K136" s="201">
        <f>Model!G$51</f>
        <v>26052.648000000005</v>
      </c>
      <c r="L136" s="201">
        <f>Model!H$51</f>
        <v>27478.056499999995</v>
      </c>
      <c r="M136" s="201">
        <f>Model!I$51</f>
        <v>28903.236999999997</v>
      </c>
      <c r="N136" s="201">
        <f>Model!J$51</f>
        <v>29853.18</v>
      </c>
      <c r="O136" s="201">
        <f>Model!K$51</f>
        <v>0</v>
      </c>
      <c r="P136" s="201">
        <f>Model!L$51</f>
        <v>0</v>
      </c>
      <c r="Q136" s="201">
        <f>Model!M$51</f>
        <v>0</v>
      </c>
      <c r="R136" s="201">
        <f>Model!N$51</f>
        <v>0</v>
      </c>
      <c r="S136" s="201">
        <f>Model!R$51</f>
        <v>25000</v>
      </c>
      <c r="T136" s="204" t="str">
        <f t="shared" si="28"/>
        <v/>
      </c>
      <c r="U136" s="204" t="str">
        <f t="shared" si="29"/>
        <v/>
      </c>
      <c r="V136" s="204" t="str">
        <f t="shared" si="30"/>
        <v/>
      </c>
      <c r="W136" s="204" t="str">
        <f t="shared" si="27"/>
        <v/>
      </c>
      <c r="X136" s="204" t="str">
        <f t="shared" si="21"/>
        <v/>
      </c>
      <c r="Y136" s="204" t="str">
        <f t="shared" si="21"/>
        <v xml:space="preserve">  </v>
      </c>
      <c r="Z136" s="204" t="str">
        <f t="shared" si="21"/>
        <v xml:space="preserve">  </v>
      </c>
      <c r="AA136" s="204" t="str">
        <f t="shared" si="21"/>
        <v xml:space="preserve">  </v>
      </c>
      <c r="AB136" s="204" t="str">
        <f t="shared" si="20"/>
        <v xml:space="preserve">  </v>
      </c>
      <c r="AC136" s="204" t="str">
        <f t="shared" si="20"/>
        <v/>
      </c>
    </row>
    <row r="137" spans="1:29" x14ac:dyDescent="0.3">
      <c r="A137" s="202">
        <v>41410</v>
      </c>
      <c r="B137" s="203">
        <f t="shared" si="22"/>
        <v>5</v>
      </c>
      <c r="C137" s="203">
        <f t="shared" si="23"/>
        <v>1</v>
      </c>
      <c r="D137" s="201">
        <f t="shared" si="24"/>
        <v>217.34190322580645</v>
      </c>
      <c r="E137" s="201">
        <f t="shared" si="25"/>
        <v>271.86164516129031</v>
      </c>
      <c r="F137" s="201">
        <f t="shared" si="26"/>
        <v>0</v>
      </c>
      <c r="G137" s="201">
        <f>SUM(D$2:D137)</f>
        <v>3477.4704516129041</v>
      </c>
      <c r="H137" s="201">
        <f>SUM(E$2:E137)</f>
        <v>4349.7863225806441</v>
      </c>
      <c r="I137" s="201">
        <f>SUM(F$2:F137)</f>
        <v>0</v>
      </c>
      <c r="J137" s="201">
        <f>Model!F$51</f>
        <v>23678.322499999998</v>
      </c>
      <c r="K137" s="201">
        <f>Model!G$51</f>
        <v>26052.648000000005</v>
      </c>
      <c r="L137" s="201">
        <f>Model!H$51</f>
        <v>27478.056499999995</v>
      </c>
      <c r="M137" s="201">
        <f>Model!I$51</f>
        <v>28903.236999999997</v>
      </c>
      <c r="N137" s="201">
        <f>Model!J$51</f>
        <v>29853.18</v>
      </c>
      <c r="O137" s="201">
        <f>Model!K$51</f>
        <v>0</v>
      </c>
      <c r="P137" s="201">
        <f>Model!L$51</f>
        <v>0</v>
      </c>
      <c r="Q137" s="201">
        <f>Model!M$51</f>
        <v>0</v>
      </c>
      <c r="R137" s="201">
        <f>Model!N$51</f>
        <v>0</v>
      </c>
      <c r="S137" s="201">
        <f>Model!R$51</f>
        <v>25000</v>
      </c>
      <c r="T137" s="204" t="str">
        <f t="shared" si="28"/>
        <v/>
      </c>
      <c r="U137" s="204" t="str">
        <f t="shared" si="29"/>
        <v/>
      </c>
      <c r="V137" s="204" t="str">
        <f t="shared" si="30"/>
        <v/>
      </c>
      <c r="W137" s="204" t="str">
        <f t="shared" si="27"/>
        <v/>
      </c>
      <c r="X137" s="204" t="str">
        <f t="shared" si="21"/>
        <v/>
      </c>
      <c r="Y137" s="204" t="str">
        <f t="shared" si="21"/>
        <v xml:space="preserve">  </v>
      </c>
      <c r="Z137" s="204" t="str">
        <f t="shared" si="21"/>
        <v xml:space="preserve">  </v>
      </c>
      <c r="AA137" s="204" t="str">
        <f t="shared" si="21"/>
        <v xml:space="preserve">  </v>
      </c>
      <c r="AB137" s="204" t="str">
        <f t="shared" si="20"/>
        <v xml:space="preserve">  </v>
      </c>
      <c r="AC137" s="204" t="str">
        <f t="shared" si="20"/>
        <v/>
      </c>
    </row>
    <row r="138" spans="1:29" x14ac:dyDescent="0.3">
      <c r="A138" s="202">
        <v>41411</v>
      </c>
      <c r="B138" s="203">
        <f t="shared" si="22"/>
        <v>5</v>
      </c>
      <c r="C138" s="203">
        <f t="shared" si="23"/>
        <v>1</v>
      </c>
      <c r="D138" s="201">
        <f t="shared" si="24"/>
        <v>217.34190322580645</v>
      </c>
      <c r="E138" s="201">
        <f t="shared" si="25"/>
        <v>271.86164516129031</v>
      </c>
      <c r="F138" s="201">
        <f t="shared" si="26"/>
        <v>0</v>
      </c>
      <c r="G138" s="201">
        <f>SUM(D$2:D138)</f>
        <v>3694.8123548387107</v>
      </c>
      <c r="H138" s="201">
        <f>SUM(E$2:E138)</f>
        <v>4621.6479677419347</v>
      </c>
      <c r="I138" s="201">
        <f>SUM(F$2:F138)</f>
        <v>0</v>
      </c>
      <c r="J138" s="201">
        <f>Model!F$51</f>
        <v>23678.322499999998</v>
      </c>
      <c r="K138" s="201">
        <f>Model!G$51</f>
        <v>26052.648000000005</v>
      </c>
      <c r="L138" s="201">
        <f>Model!H$51</f>
        <v>27478.056499999995</v>
      </c>
      <c r="M138" s="201">
        <f>Model!I$51</f>
        <v>28903.236999999997</v>
      </c>
      <c r="N138" s="201">
        <f>Model!J$51</f>
        <v>29853.18</v>
      </c>
      <c r="O138" s="201">
        <f>Model!K$51</f>
        <v>0</v>
      </c>
      <c r="P138" s="201">
        <f>Model!L$51</f>
        <v>0</v>
      </c>
      <c r="Q138" s="201">
        <f>Model!M$51</f>
        <v>0</v>
      </c>
      <c r="R138" s="201">
        <f>Model!N$51</f>
        <v>0</v>
      </c>
      <c r="S138" s="201">
        <f>Model!R$51</f>
        <v>25000</v>
      </c>
      <c r="T138" s="204" t="str">
        <f t="shared" si="28"/>
        <v/>
      </c>
      <c r="U138" s="204" t="str">
        <f t="shared" si="29"/>
        <v/>
      </c>
      <c r="V138" s="204" t="str">
        <f t="shared" si="30"/>
        <v/>
      </c>
      <c r="W138" s="204" t="str">
        <f t="shared" si="27"/>
        <v/>
      </c>
      <c r="X138" s="204" t="str">
        <f t="shared" si="21"/>
        <v/>
      </c>
      <c r="Y138" s="204" t="str">
        <f t="shared" si="21"/>
        <v xml:space="preserve">  </v>
      </c>
      <c r="Z138" s="204" t="str">
        <f t="shared" si="21"/>
        <v xml:space="preserve">  </v>
      </c>
      <c r="AA138" s="204" t="str">
        <f t="shared" si="21"/>
        <v xml:space="preserve">  </v>
      </c>
      <c r="AB138" s="204" t="str">
        <f t="shared" si="20"/>
        <v xml:space="preserve">  </v>
      </c>
      <c r="AC138" s="204" t="str">
        <f t="shared" si="20"/>
        <v/>
      </c>
    </row>
    <row r="139" spans="1:29" x14ac:dyDescent="0.3">
      <c r="A139" s="202">
        <v>41412</v>
      </c>
      <c r="B139" s="203">
        <f t="shared" si="22"/>
        <v>5</v>
      </c>
      <c r="C139" s="203">
        <f t="shared" si="23"/>
        <v>1</v>
      </c>
      <c r="D139" s="201">
        <f t="shared" si="24"/>
        <v>217.34190322580645</v>
      </c>
      <c r="E139" s="201">
        <f t="shared" si="25"/>
        <v>271.86164516129031</v>
      </c>
      <c r="F139" s="201">
        <f t="shared" si="26"/>
        <v>0</v>
      </c>
      <c r="G139" s="201">
        <f>SUM(D$2:D139)</f>
        <v>3912.1542580645173</v>
      </c>
      <c r="H139" s="201">
        <f>SUM(E$2:E139)</f>
        <v>4893.5096129032254</v>
      </c>
      <c r="I139" s="201">
        <f>SUM(F$2:F139)</f>
        <v>0</v>
      </c>
      <c r="J139" s="201">
        <f>Model!F$51</f>
        <v>23678.322499999998</v>
      </c>
      <c r="K139" s="201">
        <f>Model!G$51</f>
        <v>26052.648000000005</v>
      </c>
      <c r="L139" s="201">
        <f>Model!H$51</f>
        <v>27478.056499999995</v>
      </c>
      <c r="M139" s="201">
        <f>Model!I$51</f>
        <v>28903.236999999997</v>
      </c>
      <c r="N139" s="201">
        <f>Model!J$51</f>
        <v>29853.18</v>
      </c>
      <c r="O139" s="201">
        <f>Model!K$51</f>
        <v>0</v>
      </c>
      <c r="P139" s="201">
        <f>Model!L$51</f>
        <v>0</v>
      </c>
      <c r="Q139" s="201">
        <f>Model!M$51</f>
        <v>0</v>
      </c>
      <c r="R139" s="201">
        <f>Model!N$51</f>
        <v>0</v>
      </c>
      <c r="S139" s="201">
        <f>Model!R$51</f>
        <v>25000</v>
      </c>
      <c r="T139" s="204" t="str">
        <f t="shared" si="28"/>
        <v/>
      </c>
      <c r="U139" s="204" t="str">
        <f t="shared" si="29"/>
        <v/>
      </c>
      <c r="V139" s="204" t="str">
        <f t="shared" si="30"/>
        <v/>
      </c>
      <c r="W139" s="204" t="str">
        <f t="shared" si="27"/>
        <v/>
      </c>
      <c r="X139" s="204" t="str">
        <f t="shared" si="21"/>
        <v/>
      </c>
      <c r="Y139" s="204" t="str">
        <f t="shared" si="21"/>
        <v xml:space="preserve">  </v>
      </c>
      <c r="Z139" s="204" t="str">
        <f t="shared" si="21"/>
        <v xml:space="preserve">  </v>
      </c>
      <c r="AA139" s="204" t="str">
        <f t="shared" si="21"/>
        <v xml:space="preserve">  </v>
      </c>
      <c r="AB139" s="204" t="str">
        <f t="shared" si="20"/>
        <v xml:space="preserve">  </v>
      </c>
      <c r="AC139" s="204" t="str">
        <f t="shared" si="20"/>
        <v/>
      </c>
    </row>
    <row r="140" spans="1:29" x14ac:dyDescent="0.3">
      <c r="A140" s="202">
        <v>41413</v>
      </c>
      <c r="B140" s="203">
        <f t="shared" si="22"/>
        <v>5</v>
      </c>
      <c r="C140" s="203">
        <f t="shared" si="23"/>
        <v>1</v>
      </c>
      <c r="D140" s="201">
        <f t="shared" si="24"/>
        <v>217.34190322580645</v>
      </c>
      <c r="E140" s="201">
        <f t="shared" si="25"/>
        <v>271.86164516129031</v>
      </c>
      <c r="F140" s="201">
        <f t="shared" si="26"/>
        <v>0</v>
      </c>
      <c r="G140" s="201">
        <f>SUM(D$2:D140)</f>
        <v>4129.4961612903235</v>
      </c>
      <c r="H140" s="201">
        <f>SUM(E$2:E140)</f>
        <v>5165.371258064516</v>
      </c>
      <c r="I140" s="201">
        <f>SUM(F$2:F140)</f>
        <v>0</v>
      </c>
      <c r="J140" s="201">
        <f>Model!F$51</f>
        <v>23678.322499999998</v>
      </c>
      <c r="K140" s="201">
        <f>Model!G$51</f>
        <v>26052.648000000005</v>
      </c>
      <c r="L140" s="201">
        <f>Model!H$51</f>
        <v>27478.056499999995</v>
      </c>
      <c r="M140" s="201">
        <f>Model!I$51</f>
        <v>28903.236999999997</v>
      </c>
      <c r="N140" s="201">
        <f>Model!J$51</f>
        <v>29853.18</v>
      </c>
      <c r="O140" s="201">
        <f>Model!K$51</f>
        <v>0</v>
      </c>
      <c r="P140" s="201">
        <f>Model!L$51</f>
        <v>0</v>
      </c>
      <c r="Q140" s="201">
        <f>Model!M$51</f>
        <v>0</v>
      </c>
      <c r="R140" s="201">
        <f>Model!N$51</f>
        <v>0</v>
      </c>
      <c r="S140" s="201">
        <f>Model!R$51</f>
        <v>25000</v>
      </c>
      <c r="T140" s="204" t="str">
        <f t="shared" si="28"/>
        <v/>
      </c>
      <c r="U140" s="204" t="str">
        <f t="shared" si="29"/>
        <v/>
      </c>
      <c r="V140" s="204" t="str">
        <f t="shared" si="30"/>
        <v/>
      </c>
      <c r="W140" s="204" t="str">
        <f t="shared" si="27"/>
        <v/>
      </c>
      <c r="X140" s="204" t="str">
        <f t="shared" si="21"/>
        <v/>
      </c>
      <c r="Y140" s="204" t="str">
        <f t="shared" si="21"/>
        <v xml:space="preserve">  </v>
      </c>
      <c r="Z140" s="204" t="str">
        <f t="shared" si="21"/>
        <v xml:space="preserve">  </v>
      </c>
      <c r="AA140" s="204" t="str">
        <f t="shared" si="21"/>
        <v xml:space="preserve">  </v>
      </c>
      <c r="AB140" s="204" t="str">
        <f t="shared" si="20"/>
        <v xml:space="preserve">  </v>
      </c>
      <c r="AC140" s="204" t="str">
        <f t="shared" si="20"/>
        <v/>
      </c>
    </row>
    <row r="141" spans="1:29" x14ac:dyDescent="0.3">
      <c r="A141" s="202">
        <v>41414</v>
      </c>
      <c r="B141" s="203">
        <f t="shared" si="22"/>
        <v>5</v>
      </c>
      <c r="C141" s="203">
        <f t="shared" si="23"/>
        <v>1</v>
      </c>
      <c r="D141" s="201">
        <f t="shared" si="24"/>
        <v>217.34190322580645</v>
      </c>
      <c r="E141" s="201">
        <f t="shared" si="25"/>
        <v>271.86164516129031</v>
      </c>
      <c r="F141" s="201">
        <f t="shared" si="26"/>
        <v>0</v>
      </c>
      <c r="G141" s="201">
        <f>SUM(D$2:D141)</f>
        <v>4346.8380645161296</v>
      </c>
      <c r="H141" s="201">
        <f>SUM(E$2:E141)</f>
        <v>5437.2329032258067</v>
      </c>
      <c r="I141" s="201">
        <f>SUM(F$2:F141)</f>
        <v>0</v>
      </c>
      <c r="J141" s="201">
        <f>Model!F$51</f>
        <v>23678.322499999998</v>
      </c>
      <c r="K141" s="201">
        <f>Model!G$51</f>
        <v>26052.648000000005</v>
      </c>
      <c r="L141" s="201">
        <f>Model!H$51</f>
        <v>27478.056499999995</v>
      </c>
      <c r="M141" s="201">
        <f>Model!I$51</f>
        <v>28903.236999999997</v>
      </c>
      <c r="N141" s="201">
        <f>Model!J$51</f>
        <v>29853.18</v>
      </c>
      <c r="O141" s="201">
        <f>Model!K$51</f>
        <v>0</v>
      </c>
      <c r="P141" s="201">
        <f>Model!L$51</f>
        <v>0</v>
      </c>
      <c r="Q141" s="201">
        <f>Model!M$51</f>
        <v>0</v>
      </c>
      <c r="R141" s="201">
        <f>Model!N$51</f>
        <v>0</v>
      </c>
      <c r="S141" s="201">
        <f>Model!R$51</f>
        <v>25000</v>
      </c>
      <c r="T141" s="204" t="str">
        <f t="shared" si="28"/>
        <v/>
      </c>
      <c r="U141" s="204" t="str">
        <f t="shared" si="29"/>
        <v/>
      </c>
      <c r="V141" s="204" t="str">
        <f t="shared" si="30"/>
        <v/>
      </c>
      <c r="W141" s="204" t="str">
        <f t="shared" si="27"/>
        <v/>
      </c>
      <c r="X141" s="204" t="str">
        <f t="shared" si="21"/>
        <v/>
      </c>
      <c r="Y141" s="204" t="str">
        <f t="shared" si="21"/>
        <v xml:space="preserve">  </v>
      </c>
      <c r="Z141" s="204" t="str">
        <f t="shared" si="21"/>
        <v xml:space="preserve">  </v>
      </c>
      <c r="AA141" s="204" t="str">
        <f t="shared" si="21"/>
        <v xml:space="preserve">  </v>
      </c>
      <c r="AB141" s="204" t="str">
        <f t="shared" si="20"/>
        <v xml:space="preserve">  </v>
      </c>
      <c r="AC141" s="204" t="str">
        <f t="shared" si="20"/>
        <v/>
      </c>
    </row>
    <row r="142" spans="1:29" x14ac:dyDescent="0.3">
      <c r="A142" s="202">
        <v>41415</v>
      </c>
      <c r="B142" s="203">
        <f t="shared" si="22"/>
        <v>5</v>
      </c>
      <c r="C142" s="203">
        <f t="shared" si="23"/>
        <v>1</v>
      </c>
      <c r="D142" s="201">
        <f t="shared" si="24"/>
        <v>217.34190322580645</v>
      </c>
      <c r="E142" s="201">
        <f t="shared" si="25"/>
        <v>271.86164516129031</v>
      </c>
      <c r="F142" s="201">
        <f t="shared" si="26"/>
        <v>0</v>
      </c>
      <c r="G142" s="201">
        <f>SUM(D$2:D142)</f>
        <v>4564.1799677419358</v>
      </c>
      <c r="H142" s="201">
        <f>SUM(E$2:E142)</f>
        <v>5709.0945483870973</v>
      </c>
      <c r="I142" s="201">
        <f>SUM(F$2:F142)</f>
        <v>0</v>
      </c>
      <c r="J142" s="201">
        <f>Model!F$51</f>
        <v>23678.322499999998</v>
      </c>
      <c r="K142" s="201">
        <f>Model!G$51</f>
        <v>26052.648000000005</v>
      </c>
      <c r="L142" s="201">
        <f>Model!H$51</f>
        <v>27478.056499999995</v>
      </c>
      <c r="M142" s="201">
        <f>Model!I$51</f>
        <v>28903.236999999997</v>
      </c>
      <c r="N142" s="201">
        <f>Model!J$51</f>
        <v>29853.18</v>
      </c>
      <c r="O142" s="201">
        <f>Model!K$51</f>
        <v>0</v>
      </c>
      <c r="P142" s="201">
        <f>Model!L$51</f>
        <v>0</v>
      </c>
      <c r="Q142" s="201">
        <f>Model!M$51</f>
        <v>0</v>
      </c>
      <c r="R142" s="201">
        <f>Model!N$51</f>
        <v>0</v>
      </c>
      <c r="S142" s="201">
        <f>Model!R$51</f>
        <v>25000</v>
      </c>
      <c r="T142" s="204" t="str">
        <f t="shared" si="28"/>
        <v/>
      </c>
      <c r="U142" s="204" t="str">
        <f t="shared" si="29"/>
        <v/>
      </c>
      <c r="V142" s="204" t="str">
        <f t="shared" si="30"/>
        <v/>
      </c>
      <c r="W142" s="204" t="str">
        <f t="shared" si="27"/>
        <v/>
      </c>
      <c r="X142" s="204" t="str">
        <f t="shared" si="21"/>
        <v/>
      </c>
      <c r="Y142" s="204" t="str">
        <f t="shared" si="21"/>
        <v xml:space="preserve">  </v>
      </c>
      <c r="Z142" s="204" t="str">
        <f t="shared" si="21"/>
        <v xml:space="preserve">  </v>
      </c>
      <c r="AA142" s="204" t="str">
        <f t="shared" si="21"/>
        <v xml:space="preserve">  </v>
      </c>
      <c r="AB142" s="204" t="str">
        <f t="shared" si="20"/>
        <v xml:space="preserve">  </v>
      </c>
      <c r="AC142" s="204" t="str">
        <f t="shared" si="20"/>
        <v/>
      </c>
    </row>
    <row r="143" spans="1:29" x14ac:dyDescent="0.3">
      <c r="A143" s="202">
        <v>41416</v>
      </c>
      <c r="B143" s="203">
        <f t="shared" si="22"/>
        <v>5</v>
      </c>
      <c r="C143" s="203">
        <f t="shared" si="23"/>
        <v>1</v>
      </c>
      <c r="D143" s="201">
        <f t="shared" si="24"/>
        <v>217.34190322580645</v>
      </c>
      <c r="E143" s="201">
        <f t="shared" si="25"/>
        <v>271.86164516129031</v>
      </c>
      <c r="F143" s="201">
        <f t="shared" si="26"/>
        <v>0</v>
      </c>
      <c r="G143" s="201">
        <f>SUM(D$2:D143)</f>
        <v>4781.521870967742</v>
      </c>
      <c r="H143" s="201">
        <f>SUM(E$2:E143)</f>
        <v>5980.956193548388</v>
      </c>
      <c r="I143" s="201">
        <f>SUM(F$2:F143)</f>
        <v>0</v>
      </c>
      <c r="J143" s="201">
        <f>Model!F$51</f>
        <v>23678.322499999998</v>
      </c>
      <c r="K143" s="201">
        <f>Model!G$51</f>
        <v>26052.648000000005</v>
      </c>
      <c r="L143" s="201">
        <f>Model!H$51</f>
        <v>27478.056499999995</v>
      </c>
      <c r="M143" s="201">
        <f>Model!I$51</f>
        <v>28903.236999999997</v>
      </c>
      <c r="N143" s="201">
        <f>Model!J$51</f>
        <v>29853.18</v>
      </c>
      <c r="O143" s="201">
        <f>Model!K$51</f>
        <v>0</v>
      </c>
      <c r="P143" s="201">
        <f>Model!L$51</f>
        <v>0</v>
      </c>
      <c r="Q143" s="201">
        <f>Model!M$51</f>
        <v>0</v>
      </c>
      <c r="R143" s="201">
        <f>Model!N$51</f>
        <v>0</v>
      </c>
      <c r="S143" s="201">
        <f>Model!R$51</f>
        <v>25000</v>
      </c>
      <c r="T143" s="204" t="str">
        <f t="shared" si="28"/>
        <v/>
      </c>
      <c r="U143" s="204" t="str">
        <f t="shared" si="29"/>
        <v/>
      </c>
      <c r="V143" s="204" t="str">
        <f t="shared" si="30"/>
        <v/>
      </c>
      <c r="W143" s="204" t="str">
        <f t="shared" si="27"/>
        <v/>
      </c>
      <c r="X143" s="204" t="str">
        <f t="shared" si="21"/>
        <v/>
      </c>
      <c r="Y143" s="204" t="str">
        <f t="shared" si="21"/>
        <v xml:space="preserve">  </v>
      </c>
      <c r="Z143" s="204" t="str">
        <f t="shared" si="21"/>
        <v xml:space="preserve">  </v>
      </c>
      <c r="AA143" s="204" t="str">
        <f t="shared" si="21"/>
        <v xml:space="preserve">  </v>
      </c>
      <c r="AB143" s="204" t="str">
        <f t="shared" si="20"/>
        <v xml:space="preserve">  </v>
      </c>
      <c r="AC143" s="204" t="str">
        <f t="shared" si="20"/>
        <v/>
      </c>
    </row>
    <row r="144" spans="1:29" x14ac:dyDescent="0.3">
      <c r="A144" s="202">
        <v>41417</v>
      </c>
      <c r="B144" s="203">
        <f t="shared" si="22"/>
        <v>5</v>
      </c>
      <c r="C144" s="203">
        <f t="shared" si="23"/>
        <v>1</v>
      </c>
      <c r="D144" s="201">
        <f t="shared" si="24"/>
        <v>217.34190322580645</v>
      </c>
      <c r="E144" s="201">
        <f t="shared" si="25"/>
        <v>271.86164516129031</v>
      </c>
      <c r="F144" s="201">
        <f t="shared" si="26"/>
        <v>0</v>
      </c>
      <c r="G144" s="201">
        <f>SUM(D$2:D144)</f>
        <v>4998.8637741935481</v>
      </c>
      <c r="H144" s="201">
        <f>SUM(E$2:E144)</f>
        <v>6252.8178387096787</v>
      </c>
      <c r="I144" s="201">
        <f>SUM(F$2:F144)</f>
        <v>0</v>
      </c>
      <c r="J144" s="201">
        <f>Model!F$51</f>
        <v>23678.322499999998</v>
      </c>
      <c r="K144" s="201">
        <f>Model!G$51</f>
        <v>26052.648000000005</v>
      </c>
      <c r="L144" s="201">
        <f>Model!H$51</f>
        <v>27478.056499999995</v>
      </c>
      <c r="M144" s="201">
        <f>Model!I$51</f>
        <v>28903.236999999997</v>
      </c>
      <c r="N144" s="201">
        <f>Model!J$51</f>
        <v>29853.18</v>
      </c>
      <c r="O144" s="201">
        <f>Model!K$51</f>
        <v>0</v>
      </c>
      <c r="P144" s="201">
        <f>Model!L$51</f>
        <v>0</v>
      </c>
      <c r="Q144" s="201">
        <f>Model!M$51</f>
        <v>0</v>
      </c>
      <c r="R144" s="201">
        <f>Model!N$51</f>
        <v>0</v>
      </c>
      <c r="S144" s="201">
        <f>Model!R$51</f>
        <v>25000</v>
      </c>
      <c r="T144" s="204" t="str">
        <f t="shared" si="28"/>
        <v/>
      </c>
      <c r="U144" s="204" t="str">
        <f t="shared" si="29"/>
        <v/>
      </c>
      <c r="V144" s="204" t="str">
        <f t="shared" si="30"/>
        <v/>
      </c>
      <c r="W144" s="204" t="str">
        <f t="shared" si="27"/>
        <v/>
      </c>
      <c r="X144" s="204" t="str">
        <f t="shared" si="21"/>
        <v/>
      </c>
      <c r="Y144" s="204" t="str">
        <f t="shared" si="21"/>
        <v xml:space="preserve">  </v>
      </c>
      <c r="Z144" s="204" t="str">
        <f t="shared" si="21"/>
        <v xml:space="preserve">  </v>
      </c>
      <c r="AA144" s="204" t="str">
        <f t="shared" si="21"/>
        <v xml:space="preserve">  </v>
      </c>
      <c r="AB144" s="204" t="str">
        <f t="shared" si="20"/>
        <v xml:space="preserve">  </v>
      </c>
      <c r="AC144" s="204" t="str">
        <f t="shared" si="20"/>
        <v/>
      </c>
    </row>
    <row r="145" spans="1:29" x14ac:dyDescent="0.3">
      <c r="A145" s="202">
        <v>41418</v>
      </c>
      <c r="B145" s="203">
        <f t="shared" si="22"/>
        <v>5</v>
      </c>
      <c r="C145" s="203">
        <f t="shared" si="23"/>
        <v>1</v>
      </c>
      <c r="D145" s="201">
        <f t="shared" si="24"/>
        <v>217.34190322580645</v>
      </c>
      <c r="E145" s="201">
        <f t="shared" si="25"/>
        <v>271.86164516129031</v>
      </c>
      <c r="F145" s="201">
        <f t="shared" si="26"/>
        <v>0</v>
      </c>
      <c r="G145" s="201">
        <f>SUM(D$2:D145)</f>
        <v>5216.2056774193543</v>
      </c>
      <c r="H145" s="201">
        <f>SUM(E$2:E145)</f>
        <v>6524.6794838709693</v>
      </c>
      <c r="I145" s="201">
        <f>SUM(F$2:F145)</f>
        <v>0</v>
      </c>
      <c r="J145" s="201">
        <f>Model!F$51</f>
        <v>23678.322499999998</v>
      </c>
      <c r="K145" s="201">
        <f>Model!G$51</f>
        <v>26052.648000000005</v>
      </c>
      <c r="L145" s="201">
        <f>Model!H$51</f>
        <v>27478.056499999995</v>
      </c>
      <c r="M145" s="201">
        <f>Model!I$51</f>
        <v>28903.236999999997</v>
      </c>
      <c r="N145" s="201">
        <f>Model!J$51</f>
        <v>29853.18</v>
      </c>
      <c r="O145" s="201">
        <f>Model!K$51</f>
        <v>0</v>
      </c>
      <c r="P145" s="201">
        <f>Model!L$51</f>
        <v>0</v>
      </c>
      <c r="Q145" s="201">
        <f>Model!M$51</f>
        <v>0</v>
      </c>
      <c r="R145" s="201">
        <f>Model!N$51</f>
        <v>0</v>
      </c>
      <c r="S145" s="201">
        <f>Model!R$51</f>
        <v>25000</v>
      </c>
      <c r="T145" s="204" t="str">
        <f t="shared" si="28"/>
        <v/>
      </c>
      <c r="U145" s="204" t="str">
        <f t="shared" si="29"/>
        <v/>
      </c>
      <c r="V145" s="204" t="str">
        <f t="shared" si="30"/>
        <v/>
      </c>
      <c r="W145" s="204" t="str">
        <f t="shared" si="27"/>
        <v/>
      </c>
      <c r="X145" s="204" t="str">
        <f t="shared" si="21"/>
        <v/>
      </c>
      <c r="Y145" s="204" t="str">
        <f t="shared" si="21"/>
        <v xml:space="preserve">  </v>
      </c>
      <c r="Z145" s="204" t="str">
        <f t="shared" si="21"/>
        <v xml:space="preserve">  </v>
      </c>
      <c r="AA145" s="204" t="str">
        <f t="shared" si="21"/>
        <v xml:space="preserve">  </v>
      </c>
      <c r="AB145" s="204" t="str">
        <f t="shared" ref="AB145:AC208" si="31">IF(ISNUMBER(AB144),"  ",IF(AB144="  ","  ",IF($G145&gt;R145,$A145,"")))</f>
        <v xml:space="preserve">  </v>
      </c>
      <c r="AC145" s="204" t="str">
        <f t="shared" si="31"/>
        <v/>
      </c>
    </row>
    <row r="146" spans="1:29" x14ac:dyDescent="0.3">
      <c r="A146" s="202">
        <v>41419</v>
      </c>
      <c r="B146" s="203">
        <f t="shared" si="22"/>
        <v>5</v>
      </c>
      <c r="C146" s="203">
        <f t="shared" si="23"/>
        <v>1</v>
      </c>
      <c r="D146" s="201">
        <f t="shared" si="24"/>
        <v>217.34190322580645</v>
      </c>
      <c r="E146" s="201">
        <f t="shared" si="25"/>
        <v>271.86164516129031</v>
      </c>
      <c r="F146" s="201">
        <f t="shared" si="26"/>
        <v>0</v>
      </c>
      <c r="G146" s="201">
        <f>SUM(D$2:D146)</f>
        <v>5433.5475806451605</v>
      </c>
      <c r="H146" s="201">
        <f>SUM(E$2:E146)</f>
        <v>6796.54112903226</v>
      </c>
      <c r="I146" s="201">
        <f>SUM(F$2:F146)</f>
        <v>0</v>
      </c>
      <c r="J146" s="201">
        <f>Model!F$51</f>
        <v>23678.322499999998</v>
      </c>
      <c r="K146" s="201">
        <f>Model!G$51</f>
        <v>26052.648000000005</v>
      </c>
      <c r="L146" s="201">
        <f>Model!H$51</f>
        <v>27478.056499999995</v>
      </c>
      <c r="M146" s="201">
        <f>Model!I$51</f>
        <v>28903.236999999997</v>
      </c>
      <c r="N146" s="201">
        <f>Model!J$51</f>
        <v>29853.18</v>
      </c>
      <c r="O146" s="201">
        <f>Model!K$51</f>
        <v>0</v>
      </c>
      <c r="P146" s="201">
        <f>Model!L$51</f>
        <v>0</v>
      </c>
      <c r="Q146" s="201">
        <f>Model!M$51</f>
        <v>0</v>
      </c>
      <c r="R146" s="201">
        <f>Model!N$51</f>
        <v>0</v>
      </c>
      <c r="S146" s="201">
        <f>Model!R$51</f>
        <v>25000</v>
      </c>
      <c r="T146" s="204" t="str">
        <f t="shared" si="28"/>
        <v/>
      </c>
      <c r="U146" s="204" t="str">
        <f t="shared" si="29"/>
        <v/>
      </c>
      <c r="V146" s="204" t="str">
        <f t="shared" si="30"/>
        <v/>
      </c>
      <c r="W146" s="204" t="str">
        <f t="shared" si="27"/>
        <v/>
      </c>
      <c r="X146" s="204" t="str">
        <f t="shared" si="21"/>
        <v/>
      </c>
      <c r="Y146" s="204" t="str">
        <f t="shared" si="21"/>
        <v xml:space="preserve">  </v>
      </c>
      <c r="Z146" s="204" t="str">
        <f t="shared" si="21"/>
        <v xml:space="preserve">  </v>
      </c>
      <c r="AA146" s="204" t="str">
        <f t="shared" si="21"/>
        <v xml:space="preserve">  </v>
      </c>
      <c r="AB146" s="204" t="str">
        <f t="shared" si="31"/>
        <v xml:space="preserve">  </v>
      </c>
      <c r="AC146" s="204" t="str">
        <f t="shared" si="31"/>
        <v/>
      </c>
    </row>
    <row r="147" spans="1:29" x14ac:dyDescent="0.3">
      <c r="A147" s="202">
        <v>41420</v>
      </c>
      <c r="B147" s="203">
        <f t="shared" si="22"/>
        <v>5</v>
      </c>
      <c r="C147" s="203">
        <f t="shared" si="23"/>
        <v>1</v>
      </c>
      <c r="D147" s="201">
        <f t="shared" si="24"/>
        <v>217.34190322580645</v>
      </c>
      <c r="E147" s="201">
        <f t="shared" si="25"/>
        <v>271.86164516129031</v>
      </c>
      <c r="F147" s="201">
        <f t="shared" si="26"/>
        <v>0</v>
      </c>
      <c r="G147" s="201">
        <f>SUM(D$2:D147)</f>
        <v>5650.8894838709666</v>
      </c>
      <c r="H147" s="201">
        <f>SUM(E$2:E147)</f>
        <v>7068.4027741935506</v>
      </c>
      <c r="I147" s="201">
        <f>SUM(F$2:F147)</f>
        <v>0</v>
      </c>
      <c r="J147" s="201">
        <f>Model!F$51</f>
        <v>23678.322499999998</v>
      </c>
      <c r="K147" s="201">
        <f>Model!G$51</f>
        <v>26052.648000000005</v>
      </c>
      <c r="L147" s="201">
        <f>Model!H$51</f>
        <v>27478.056499999995</v>
      </c>
      <c r="M147" s="201">
        <f>Model!I$51</f>
        <v>28903.236999999997</v>
      </c>
      <c r="N147" s="201">
        <f>Model!J$51</f>
        <v>29853.18</v>
      </c>
      <c r="O147" s="201">
        <f>Model!K$51</f>
        <v>0</v>
      </c>
      <c r="P147" s="201">
        <f>Model!L$51</f>
        <v>0</v>
      </c>
      <c r="Q147" s="201">
        <f>Model!M$51</f>
        <v>0</v>
      </c>
      <c r="R147" s="201">
        <f>Model!N$51</f>
        <v>0</v>
      </c>
      <c r="S147" s="201">
        <f>Model!R$51</f>
        <v>25000</v>
      </c>
      <c r="T147" s="204" t="str">
        <f t="shared" si="28"/>
        <v/>
      </c>
      <c r="U147" s="204" t="str">
        <f t="shared" si="29"/>
        <v/>
      </c>
      <c r="V147" s="204" t="str">
        <f t="shared" si="30"/>
        <v/>
      </c>
      <c r="W147" s="204" t="str">
        <f t="shared" si="27"/>
        <v/>
      </c>
      <c r="X147" s="204" t="str">
        <f t="shared" si="21"/>
        <v/>
      </c>
      <c r="Y147" s="204" t="str">
        <f t="shared" si="21"/>
        <v xml:space="preserve">  </v>
      </c>
      <c r="Z147" s="204" t="str">
        <f t="shared" si="21"/>
        <v xml:space="preserve">  </v>
      </c>
      <c r="AA147" s="204" t="str">
        <f t="shared" si="21"/>
        <v xml:space="preserve">  </v>
      </c>
      <c r="AB147" s="204" t="str">
        <f t="shared" si="31"/>
        <v xml:space="preserve">  </v>
      </c>
      <c r="AC147" s="204" t="str">
        <f t="shared" si="31"/>
        <v/>
      </c>
    </row>
    <row r="148" spans="1:29" x14ac:dyDescent="0.3">
      <c r="A148" s="202">
        <v>41421</v>
      </c>
      <c r="B148" s="203">
        <f t="shared" si="22"/>
        <v>5</v>
      </c>
      <c r="C148" s="203">
        <f t="shared" si="23"/>
        <v>1</v>
      </c>
      <c r="D148" s="201">
        <f t="shared" si="24"/>
        <v>217.34190322580645</v>
      </c>
      <c r="E148" s="201">
        <f t="shared" si="25"/>
        <v>271.86164516129031</v>
      </c>
      <c r="F148" s="201">
        <f t="shared" si="26"/>
        <v>0</v>
      </c>
      <c r="G148" s="201">
        <f>SUM(D$2:D148)</f>
        <v>5868.2313870967728</v>
      </c>
      <c r="H148" s="201">
        <f>SUM(E$2:E148)</f>
        <v>7340.2644193548413</v>
      </c>
      <c r="I148" s="201">
        <f>SUM(F$2:F148)</f>
        <v>0</v>
      </c>
      <c r="J148" s="201">
        <f>Model!F$51</f>
        <v>23678.322499999998</v>
      </c>
      <c r="K148" s="201">
        <f>Model!G$51</f>
        <v>26052.648000000005</v>
      </c>
      <c r="L148" s="201">
        <f>Model!H$51</f>
        <v>27478.056499999995</v>
      </c>
      <c r="M148" s="201">
        <f>Model!I$51</f>
        <v>28903.236999999997</v>
      </c>
      <c r="N148" s="201">
        <f>Model!J$51</f>
        <v>29853.18</v>
      </c>
      <c r="O148" s="201">
        <f>Model!K$51</f>
        <v>0</v>
      </c>
      <c r="P148" s="201">
        <f>Model!L$51</f>
        <v>0</v>
      </c>
      <c r="Q148" s="201">
        <f>Model!M$51</f>
        <v>0</v>
      </c>
      <c r="R148" s="201">
        <f>Model!N$51</f>
        <v>0</v>
      </c>
      <c r="S148" s="201">
        <f>Model!R$51</f>
        <v>25000</v>
      </c>
      <c r="T148" s="204" t="str">
        <f t="shared" si="28"/>
        <v/>
      </c>
      <c r="U148" s="204" t="str">
        <f t="shared" si="29"/>
        <v/>
      </c>
      <c r="V148" s="204" t="str">
        <f t="shared" si="30"/>
        <v/>
      </c>
      <c r="W148" s="204" t="str">
        <f t="shared" si="27"/>
        <v/>
      </c>
      <c r="X148" s="204" t="str">
        <f t="shared" si="21"/>
        <v/>
      </c>
      <c r="Y148" s="204" t="str">
        <f t="shared" si="21"/>
        <v xml:space="preserve">  </v>
      </c>
      <c r="Z148" s="204" t="str">
        <f t="shared" si="21"/>
        <v xml:space="preserve">  </v>
      </c>
      <c r="AA148" s="204" t="str">
        <f t="shared" si="21"/>
        <v xml:space="preserve">  </v>
      </c>
      <c r="AB148" s="204" t="str">
        <f t="shared" si="31"/>
        <v xml:space="preserve">  </v>
      </c>
      <c r="AC148" s="204" t="str">
        <f t="shared" si="31"/>
        <v/>
      </c>
    </row>
    <row r="149" spans="1:29" x14ac:dyDescent="0.3">
      <c r="A149" s="202">
        <v>41422</v>
      </c>
      <c r="B149" s="203">
        <f t="shared" si="22"/>
        <v>5</v>
      </c>
      <c r="C149" s="203">
        <f t="shared" si="23"/>
        <v>1</v>
      </c>
      <c r="D149" s="201">
        <f t="shared" si="24"/>
        <v>217.34190322580645</v>
      </c>
      <c r="E149" s="201">
        <f t="shared" si="25"/>
        <v>271.86164516129031</v>
      </c>
      <c r="F149" s="201">
        <f t="shared" si="26"/>
        <v>0</v>
      </c>
      <c r="G149" s="201">
        <f>SUM(D$2:D149)</f>
        <v>6085.5732903225789</v>
      </c>
      <c r="H149" s="201">
        <f>SUM(E$2:E149)</f>
        <v>7612.1260645161319</v>
      </c>
      <c r="I149" s="201">
        <f>SUM(F$2:F149)</f>
        <v>0</v>
      </c>
      <c r="J149" s="201">
        <f>Model!F$51</f>
        <v>23678.322499999998</v>
      </c>
      <c r="K149" s="201">
        <f>Model!G$51</f>
        <v>26052.648000000005</v>
      </c>
      <c r="L149" s="201">
        <f>Model!H$51</f>
        <v>27478.056499999995</v>
      </c>
      <c r="M149" s="201">
        <f>Model!I$51</f>
        <v>28903.236999999997</v>
      </c>
      <c r="N149" s="201">
        <f>Model!J$51</f>
        <v>29853.18</v>
      </c>
      <c r="O149" s="201">
        <f>Model!K$51</f>
        <v>0</v>
      </c>
      <c r="P149" s="201">
        <f>Model!L$51</f>
        <v>0</v>
      </c>
      <c r="Q149" s="201">
        <f>Model!M$51</f>
        <v>0</v>
      </c>
      <c r="R149" s="201">
        <f>Model!N$51</f>
        <v>0</v>
      </c>
      <c r="S149" s="201">
        <f>Model!R$51</f>
        <v>25000</v>
      </c>
      <c r="T149" s="204" t="str">
        <f t="shared" si="28"/>
        <v/>
      </c>
      <c r="U149" s="204" t="str">
        <f t="shared" si="29"/>
        <v/>
      </c>
      <c r="V149" s="204" t="str">
        <f t="shared" si="30"/>
        <v/>
      </c>
      <c r="W149" s="204" t="str">
        <f t="shared" si="27"/>
        <v/>
      </c>
      <c r="X149" s="204" t="str">
        <f t="shared" si="21"/>
        <v/>
      </c>
      <c r="Y149" s="204" t="str">
        <f t="shared" si="21"/>
        <v xml:space="preserve">  </v>
      </c>
      <c r="Z149" s="204" t="str">
        <f t="shared" si="21"/>
        <v xml:space="preserve">  </v>
      </c>
      <c r="AA149" s="204" t="str">
        <f t="shared" si="21"/>
        <v xml:space="preserve">  </v>
      </c>
      <c r="AB149" s="204" t="str">
        <f t="shared" si="31"/>
        <v xml:space="preserve">  </v>
      </c>
      <c r="AC149" s="204" t="str">
        <f t="shared" si="31"/>
        <v/>
      </c>
    </row>
    <row r="150" spans="1:29" x14ac:dyDescent="0.3">
      <c r="A150" s="202">
        <v>41423</v>
      </c>
      <c r="B150" s="203">
        <f t="shared" si="22"/>
        <v>5</v>
      </c>
      <c r="C150" s="203">
        <f t="shared" si="23"/>
        <v>1</v>
      </c>
      <c r="D150" s="201">
        <f t="shared" si="24"/>
        <v>217.34190322580645</v>
      </c>
      <c r="E150" s="201">
        <f t="shared" si="25"/>
        <v>271.86164516129031</v>
      </c>
      <c r="F150" s="201">
        <f t="shared" si="26"/>
        <v>0</v>
      </c>
      <c r="G150" s="201">
        <f>SUM(D$2:D150)</f>
        <v>6302.9151935483851</v>
      </c>
      <c r="H150" s="201">
        <f>SUM(E$2:E150)</f>
        <v>7883.9877096774226</v>
      </c>
      <c r="I150" s="201">
        <f>SUM(F$2:F150)</f>
        <v>0</v>
      </c>
      <c r="J150" s="201">
        <f>Model!F$51</f>
        <v>23678.322499999998</v>
      </c>
      <c r="K150" s="201">
        <f>Model!G$51</f>
        <v>26052.648000000005</v>
      </c>
      <c r="L150" s="201">
        <f>Model!H$51</f>
        <v>27478.056499999995</v>
      </c>
      <c r="M150" s="201">
        <f>Model!I$51</f>
        <v>28903.236999999997</v>
      </c>
      <c r="N150" s="201">
        <f>Model!J$51</f>
        <v>29853.18</v>
      </c>
      <c r="O150" s="201">
        <f>Model!K$51</f>
        <v>0</v>
      </c>
      <c r="P150" s="201">
        <f>Model!L$51</f>
        <v>0</v>
      </c>
      <c r="Q150" s="201">
        <f>Model!M$51</f>
        <v>0</v>
      </c>
      <c r="R150" s="201">
        <f>Model!N$51</f>
        <v>0</v>
      </c>
      <c r="S150" s="201">
        <f>Model!R$51</f>
        <v>25000</v>
      </c>
      <c r="T150" s="204" t="str">
        <f t="shared" si="28"/>
        <v/>
      </c>
      <c r="U150" s="204" t="str">
        <f t="shared" si="29"/>
        <v/>
      </c>
      <c r="V150" s="204" t="str">
        <f t="shared" si="30"/>
        <v/>
      </c>
      <c r="W150" s="204" t="str">
        <f t="shared" si="27"/>
        <v/>
      </c>
      <c r="X150" s="204" t="str">
        <f t="shared" si="21"/>
        <v/>
      </c>
      <c r="Y150" s="204" t="str">
        <f t="shared" si="21"/>
        <v xml:space="preserve">  </v>
      </c>
      <c r="Z150" s="204" t="str">
        <f t="shared" si="21"/>
        <v xml:space="preserve">  </v>
      </c>
      <c r="AA150" s="204" t="str">
        <f t="shared" si="21"/>
        <v xml:space="preserve">  </v>
      </c>
      <c r="AB150" s="204" t="str">
        <f t="shared" si="31"/>
        <v xml:space="preserve">  </v>
      </c>
      <c r="AC150" s="204" t="str">
        <f t="shared" si="31"/>
        <v/>
      </c>
    </row>
    <row r="151" spans="1:29" x14ac:dyDescent="0.3">
      <c r="A151" s="202">
        <v>41424</v>
      </c>
      <c r="B151" s="203">
        <f t="shared" si="22"/>
        <v>5</v>
      </c>
      <c r="C151" s="203">
        <f t="shared" si="23"/>
        <v>1</v>
      </c>
      <c r="D151" s="201">
        <f t="shared" si="24"/>
        <v>217.34190322580645</v>
      </c>
      <c r="E151" s="201">
        <f t="shared" si="25"/>
        <v>271.86164516129031</v>
      </c>
      <c r="F151" s="201">
        <f t="shared" si="26"/>
        <v>0</v>
      </c>
      <c r="G151" s="201">
        <f>SUM(D$2:D151)</f>
        <v>6520.2570967741913</v>
      </c>
      <c r="H151" s="201">
        <f>SUM(E$2:E151)</f>
        <v>8155.8493548387132</v>
      </c>
      <c r="I151" s="201">
        <f>SUM(F$2:F151)</f>
        <v>0</v>
      </c>
      <c r="J151" s="201">
        <f>Model!F$51</f>
        <v>23678.322499999998</v>
      </c>
      <c r="K151" s="201">
        <f>Model!G$51</f>
        <v>26052.648000000005</v>
      </c>
      <c r="L151" s="201">
        <f>Model!H$51</f>
        <v>27478.056499999995</v>
      </c>
      <c r="M151" s="201">
        <f>Model!I$51</f>
        <v>28903.236999999997</v>
      </c>
      <c r="N151" s="201">
        <f>Model!J$51</f>
        <v>29853.18</v>
      </c>
      <c r="O151" s="201">
        <f>Model!K$51</f>
        <v>0</v>
      </c>
      <c r="P151" s="201">
        <f>Model!L$51</f>
        <v>0</v>
      </c>
      <c r="Q151" s="201">
        <f>Model!M$51</f>
        <v>0</v>
      </c>
      <c r="R151" s="201">
        <f>Model!N$51</f>
        <v>0</v>
      </c>
      <c r="S151" s="201">
        <f>Model!R$51</f>
        <v>25000</v>
      </c>
      <c r="T151" s="204" t="str">
        <f t="shared" si="28"/>
        <v/>
      </c>
      <c r="U151" s="204" t="str">
        <f t="shared" si="29"/>
        <v/>
      </c>
      <c r="V151" s="204" t="str">
        <f t="shared" si="30"/>
        <v/>
      </c>
      <c r="W151" s="204" t="str">
        <f t="shared" si="27"/>
        <v/>
      </c>
      <c r="X151" s="204" t="str">
        <f t="shared" si="21"/>
        <v/>
      </c>
      <c r="Y151" s="204" t="str">
        <f t="shared" si="21"/>
        <v xml:space="preserve">  </v>
      </c>
      <c r="Z151" s="204" t="str">
        <f t="shared" si="21"/>
        <v xml:space="preserve">  </v>
      </c>
      <c r="AA151" s="204" t="str">
        <f t="shared" si="21"/>
        <v xml:space="preserve">  </v>
      </c>
      <c r="AB151" s="204" t="str">
        <f t="shared" si="31"/>
        <v xml:space="preserve">  </v>
      </c>
      <c r="AC151" s="204" t="str">
        <f t="shared" si="31"/>
        <v/>
      </c>
    </row>
    <row r="152" spans="1:29" x14ac:dyDescent="0.3">
      <c r="A152" s="202">
        <v>41425</v>
      </c>
      <c r="B152" s="203">
        <f t="shared" si="22"/>
        <v>5</v>
      </c>
      <c r="C152" s="203">
        <f t="shared" si="23"/>
        <v>1</v>
      </c>
      <c r="D152" s="201">
        <f t="shared" si="24"/>
        <v>217.34190322580645</v>
      </c>
      <c r="E152" s="201">
        <f t="shared" si="25"/>
        <v>271.86164516129031</v>
      </c>
      <c r="F152" s="201">
        <f t="shared" si="26"/>
        <v>0</v>
      </c>
      <c r="G152" s="201">
        <f>SUM(D$2:D152)</f>
        <v>6737.5989999999974</v>
      </c>
      <c r="H152" s="201">
        <f>SUM(E$2:E152)</f>
        <v>8427.711000000003</v>
      </c>
      <c r="I152" s="201">
        <f>SUM(F$2:F152)</f>
        <v>0</v>
      </c>
      <c r="J152" s="201">
        <f>Model!F$51</f>
        <v>23678.322499999998</v>
      </c>
      <c r="K152" s="201">
        <f>Model!G$51</f>
        <v>26052.648000000005</v>
      </c>
      <c r="L152" s="201">
        <f>Model!H$51</f>
        <v>27478.056499999995</v>
      </c>
      <c r="M152" s="201">
        <f>Model!I$51</f>
        <v>28903.236999999997</v>
      </c>
      <c r="N152" s="201">
        <f>Model!J$51</f>
        <v>29853.18</v>
      </c>
      <c r="O152" s="201">
        <f>Model!K$51</f>
        <v>0</v>
      </c>
      <c r="P152" s="201">
        <f>Model!L$51</f>
        <v>0</v>
      </c>
      <c r="Q152" s="201">
        <f>Model!M$51</f>
        <v>0</v>
      </c>
      <c r="R152" s="201">
        <f>Model!N$51</f>
        <v>0</v>
      </c>
      <c r="S152" s="201">
        <f>Model!R$51</f>
        <v>25000</v>
      </c>
      <c r="T152" s="204" t="str">
        <f t="shared" si="28"/>
        <v/>
      </c>
      <c r="U152" s="204" t="str">
        <f t="shared" si="29"/>
        <v/>
      </c>
      <c r="V152" s="204" t="str">
        <f t="shared" si="30"/>
        <v/>
      </c>
      <c r="W152" s="204" t="str">
        <f t="shared" si="27"/>
        <v/>
      </c>
      <c r="X152" s="204" t="str">
        <f t="shared" si="21"/>
        <v/>
      </c>
      <c r="Y152" s="204" t="str">
        <f t="shared" si="21"/>
        <v xml:space="preserve">  </v>
      </c>
      <c r="Z152" s="204" t="str">
        <f t="shared" si="21"/>
        <v xml:space="preserve">  </v>
      </c>
      <c r="AA152" s="204" t="str">
        <f t="shared" si="21"/>
        <v xml:space="preserve">  </v>
      </c>
      <c r="AB152" s="204" t="str">
        <f t="shared" si="31"/>
        <v xml:space="preserve">  </v>
      </c>
      <c r="AC152" s="204" t="str">
        <f t="shared" si="31"/>
        <v/>
      </c>
    </row>
    <row r="153" spans="1:29" x14ac:dyDescent="0.3">
      <c r="A153" s="202">
        <v>41426</v>
      </c>
      <c r="B153" s="203">
        <f t="shared" si="22"/>
        <v>6</v>
      </c>
      <c r="C153" s="203">
        <f t="shared" si="23"/>
        <v>1</v>
      </c>
      <c r="D153" s="201">
        <f t="shared" si="24"/>
        <v>217.34188666666665</v>
      </c>
      <c r="E153" s="201">
        <f t="shared" si="25"/>
        <v>271.86163999999997</v>
      </c>
      <c r="F153" s="201">
        <f t="shared" si="26"/>
        <v>157.56981290322582</v>
      </c>
      <c r="G153" s="201">
        <f>SUM(D$2:D153)</f>
        <v>6954.9408866666645</v>
      </c>
      <c r="H153" s="201">
        <f>SUM(E$2:E153)</f>
        <v>8699.5726400000021</v>
      </c>
      <c r="I153" s="201">
        <f>SUM(F$2:F153)</f>
        <v>157.56981290322582</v>
      </c>
      <c r="J153" s="201">
        <f>Model!F$51</f>
        <v>23678.322499999998</v>
      </c>
      <c r="K153" s="201">
        <f>Model!G$51</f>
        <v>26052.648000000005</v>
      </c>
      <c r="L153" s="201">
        <f>Model!H$51</f>
        <v>27478.056499999995</v>
      </c>
      <c r="M153" s="201">
        <f>Model!I$51</f>
        <v>28903.236999999997</v>
      </c>
      <c r="N153" s="201">
        <f>Model!J$51</f>
        <v>29853.18</v>
      </c>
      <c r="O153" s="201">
        <f>Model!K$51</f>
        <v>0</v>
      </c>
      <c r="P153" s="201">
        <f>Model!L$51</f>
        <v>0</v>
      </c>
      <c r="Q153" s="201">
        <f>Model!M$51</f>
        <v>0</v>
      </c>
      <c r="R153" s="201">
        <f>Model!N$51</f>
        <v>0</v>
      </c>
      <c r="S153" s="201">
        <f>Model!R$51</f>
        <v>25000</v>
      </c>
      <c r="T153" s="204" t="str">
        <f t="shared" si="28"/>
        <v/>
      </c>
      <c r="U153" s="204" t="str">
        <f t="shared" si="29"/>
        <v/>
      </c>
      <c r="V153" s="204" t="str">
        <f t="shared" si="30"/>
        <v/>
      </c>
      <c r="W153" s="204" t="str">
        <f t="shared" si="27"/>
        <v/>
      </c>
      <c r="X153" s="204" t="str">
        <f t="shared" si="21"/>
        <v/>
      </c>
      <c r="Y153" s="204" t="str">
        <f t="shared" si="21"/>
        <v xml:space="preserve">  </v>
      </c>
      <c r="Z153" s="204" t="str">
        <f t="shared" si="21"/>
        <v xml:space="preserve">  </v>
      </c>
      <c r="AA153" s="204" t="str">
        <f t="shared" si="21"/>
        <v xml:space="preserve">  </v>
      </c>
      <c r="AB153" s="204" t="str">
        <f t="shared" si="31"/>
        <v xml:space="preserve">  </v>
      </c>
      <c r="AC153" s="204" t="str">
        <f t="shared" si="31"/>
        <v/>
      </c>
    </row>
    <row r="154" spans="1:29" x14ac:dyDescent="0.3">
      <c r="A154" s="202">
        <v>41427</v>
      </c>
      <c r="B154" s="203">
        <f t="shared" si="22"/>
        <v>6</v>
      </c>
      <c r="C154" s="203">
        <f t="shared" si="23"/>
        <v>1</v>
      </c>
      <c r="D154" s="201">
        <f t="shared" si="24"/>
        <v>217.34188666666665</v>
      </c>
      <c r="E154" s="201">
        <f t="shared" si="25"/>
        <v>271.86163999999997</v>
      </c>
      <c r="F154" s="201">
        <f t="shared" si="26"/>
        <v>157.56981290322582</v>
      </c>
      <c r="G154" s="201">
        <f>SUM(D$2:D154)</f>
        <v>7172.2827733333315</v>
      </c>
      <c r="H154" s="201">
        <f>SUM(E$2:E154)</f>
        <v>8971.4342800000013</v>
      </c>
      <c r="I154" s="201">
        <f>SUM(F$2:F154)</f>
        <v>315.13962580645165</v>
      </c>
      <c r="J154" s="201">
        <f>Model!F$51</f>
        <v>23678.322499999998</v>
      </c>
      <c r="K154" s="201">
        <f>Model!G$51</f>
        <v>26052.648000000005</v>
      </c>
      <c r="L154" s="201">
        <f>Model!H$51</f>
        <v>27478.056499999995</v>
      </c>
      <c r="M154" s="201">
        <f>Model!I$51</f>
        <v>28903.236999999997</v>
      </c>
      <c r="N154" s="201">
        <f>Model!J$51</f>
        <v>29853.18</v>
      </c>
      <c r="O154" s="201">
        <f>Model!K$51</f>
        <v>0</v>
      </c>
      <c r="P154" s="201">
        <f>Model!L$51</f>
        <v>0</v>
      </c>
      <c r="Q154" s="201">
        <f>Model!M$51</f>
        <v>0</v>
      </c>
      <c r="R154" s="201">
        <f>Model!N$51</f>
        <v>0</v>
      </c>
      <c r="S154" s="201">
        <f>Model!R$51</f>
        <v>25000</v>
      </c>
      <c r="T154" s="204" t="str">
        <f t="shared" si="28"/>
        <v/>
      </c>
      <c r="U154" s="204" t="str">
        <f t="shared" si="29"/>
        <v/>
      </c>
      <c r="V154" s="204" t="str">
        <f t="shared" si="30"/>
        <v/>
      </c>
      <c r="W154" s="204" t="str">
        <f t="shared" si="27"/>
        <v/>
      </c>
      <c r="X154" s="204" t="str">
        <f t="shared" si="21"/>
        <v/>
      </c>
      <c r="Y154" s="204" t="str">
        <f t="shared" si="21"/>
        <v xml:space="preserve">  </v>
      </c>
      <c r="Z154" s="204" t="str">
        <f t="shared" si="21"/>
        <v xml:space="preserve">  </v>
      </c>
      <c r="AA154" s="204" t="str">
        <f t="shared" si="21"/>
        <v xml:space="preserve">  </v>
      </c>
      <c r="AB154" s="204" t="str">
        <f t="shared" si="31"/>
        <v xml:space="preserve">  </v>
      </c>
      <c r="AC154" s="204" t="str">
        <f t="shared" si="31"/>
        <v/>
      </c>
    </row>
    <row r="155" spans="1:29" x14ac:dyDescent="0.3">
      <c r="A155" s="202">
        <v>41428</v>
      </c>
      <c r="B155" s="203">
        <f t="shared" si="22"/>
        <v>6</v>
      </c>
      <c r="C155" s="203">
        <f t="shared" si="23"/>
        <v>1</v>
      </c>
      <c r="D155" s="201">
        <f t="shared" si="24"/>
        <v>217.34188666666665</v>
      </c>
      <c r="E155" s="201">
        <f t="shared" si="25"/>
        <v>271.86163999999997</v>
      </c>
      <c r="F155" s="201">
        <f t="shared" si="26"/>
        <v>157.56981290322582</v>
      </c>
      <c r="G155" s="201">
        <f>SUM(D$2:D155)</f>
        <v>7389.6246599999986</v>
      </c>
      <c r="H155" s="201">
        <f>SUM(E$2:E155)</f>
        <v>9243.2959200000005</v>
      </c>
      <c r="I155" s="201">
        <f>SUM(F$2:F155)</f>
        <v>472.70943870967744</v>
      </c>
      <c r="J155" s="201">
        <f>Model!F$51</f>
        <v>23678.322499999998</v>
      </c>
      <c r="K155" s="201">
        <f>Model!G$51</f>
        <v>26052.648000000005</v>
      </c>
      <c r="L155" s="201">
        <f>Model!H$51</f>
        <v>27478.056499999995</v>
      </c>
      <c r="M155" s="201">
        <f>Model!I$51</f>
        <v>28903.236999999997</v>
      </c>
      <c r="N155" s="201">
        <f>Model!J$51</f>
        <v>29853.18</v>
      </c>
      <c r="O155" s="201">
        <f>Model!K$51</f>
        <v>0</v>
      </c>
      <c r="P155" s="201">
        <f>Model!L$51</f>
        <v>0</v>
      </c>
      <c r="Q155" s="201">
        <f>Model!M$51</f>
        <v>0</v>
      </c>
      <c r="R155" s="201">
        <f>Model!N$51</f>
        <v>0</v>
      </c>
      <c r="S155" s="201">
        <f>Model!R$51</f>
        <v>25000</v>
      </c>
      <c r="T155" s="204" t="str">
        <f t="shared" si="28"/>
        <v/>
      </c>
      <c r="U155" s="204" t="str">
        <f t="shared" si="29"/>
        <v/>
      </c>
      <c r="V155" s="204" t="str">
        <f t="shared" si="30"/>
        <v/>
      </c>
      <c r="W155" s="204" t="str">
        <f t="shared" si="27"/>
        <v/>
      </c>
      <c r="X155" s="204" t="str">
        <f t="shared" si="21"/>
        <v/>
      </c>
      <c r="Y155" s="204" t="str">
        <f t="shared" si="21"/>
        <v xml:space="preserve">  </v>
      </c>
      <c r="Z155" s="204" t="str">
        <f t="shared" si="21"/>
        <v xml:space="preserve">  </v>
      </c>
      <c r="AA155" s="204" t="str">
        <f t="shared" si="21"/>
        <v xml:space="preserve">  </v>
      </c>
      <c r="AB155" s="204" t="str">
        <f t="shared" si="31"/>
        <v xml:space="preserve">  </v>
      </c>
      <c r="AC155" s="204" t="str">
        <f t="shared" si="31"/>
        <v/>
      </c>
    </row>
    <row r="156" spans="1:29" x14ac:dyDescent="0.3">
      <c r="A156" s="202">
        <v>41429</v>
      </c>
      <c r="B156" s="203">
        <f t="shared" si="22"/>
        <v>6</v>
      </c>
      <c r="C156" s="203">
        <f t="shared" si="23"/>
        <v>1</v>
      </c>
      <c r="D156" s="201">
        <f t="shared" si="24"/>
        <v>217.34188666666665</v>
      </c>
      <c r="E156" s="201">
        <f t="shared" si="25"/>
        <v>271.86163999999997</v>
      </c>
      <c r="F156" s="201">
        <f t="shared" si="26"/>
        <v>157.56981290322582</v>
      </c>
      <c r="G156" s="201">
        <f>SUM(D$2:D156)</f>
        <v>7606.9665466666656</v>
      </c>
      <c r="H156" s="201">
        <f>SUM(E$2:E156)</f>
        <v>9515.1575599999996</v>
      </c>
      <c r="I156" s="201">
        <f>SUM(F$2:F156)</f>
        <v>630.27925161290329</v>
      </c>
      <c r="J156" s="201">
        <f>Model!F$51</f>
        <v>23678.322499999998</v>
      </c>
      <c r="K156" s="201">
        <f>Model!G$51</f>
        <v>26052.648000000005</v>
      </c>
      <c r="L156" s="201">
        <f>Model!H$51</f>
        <v>27478.056499999995</v>
      </c>
      <c r="M156" s="201">
        <f>Model!I$51</f>
        <v>28903.236999999997</v>
      </c>
      <c r="N156" s="201">
        <f>Model!J$51</f>
        <v>29853.18</v>
      </c>
      <c r="O156" s="201">
        <f>Model!K$51</f>
        <v>0</v>
      </c>
      <c r="P156" s="201">
        <f>Model!L$51</f>
        <v>0</v>
      </c>
      <c r="Q156" s="201">
        <f>Model!M$51</f>
        <v>0</v>
      </c>
      <c r="R156" s="201">
        <f>Model!N$51</f>
        <v>0</v>
      </c>
      <c r="S156" s="201">
        <f>Model!R$51</f>
        <v>25000</v>
      </c>
      <c r="T156" s="204" t="str">
        <f t="shared" si="28"/>
        <v/>
      </c>
      <c r="U156" s="204" t="str">
        <f t="shared" si="29"/>
        <v/>
      </c>
      <c r="V156" s="204" t="str">
        <f t="shared" si="30"/>
        <v/>
      </c>
      <c r="W156" s="204" t="str">
        <f t="shared" si="27"/>
        <v/>
      </c>
      <c r="X156" s="204" t="str">
        <f t="shared" si="21"/>
        <v/>
      </c>
      <c r="Y156" s="204" t="str">
        <f t="shared" si="21"/>
        <v xml:space="preserve">  </v>
      </c>
      <c r="Z156" s="204" t="str">
        <f t="shared" si="21"/>
        <v xml:space="preserve">  </v>
      </c>
      <c r="AA156" s="204" t="str">
        <f t="shared" si="21"/>
        <v xml:space="preserve">  </v>
      </c>
      <c r="AB156" s="204" t="str">
        <f t="shared" si="31"/>
        <v xml:space="preserve">  </v>
      </c>
      <c r="AC156" s="204" t="str">
        <f t="shared" si="31"/>
        <v/>
      </c>
    </row>
    <row r="157" spans="1:29" x14ac:dyDescent="0.3">
      <c r="A157" s="202">
        <v>41430</v>
      </c>
      <c r="B157" s="203">
        <f t="shared" si="22"/>
        <v>6</v>
      </c>
      <c r="C157" s="203">
        <f t="shared" si="23"/>
        <v>1</v>
      </c>
      <c r="D157" s="201">
        <f t="shared" si="24"/>
        <v>217.34188666666665</v>
      </c>
      <c r="E157" s="201">
        <f t="shared" si="25"/>
        <v>271.86163999999997</v>
      </c>
      <c r="F157" s="201">
        <f t="shared" si="26"/>
        <v>157.56981290322582</v>
      </c>
      <c r="G157" s="201">
        <f>SUM(D$2:D157)</f>
        <v>7824.3084333333327</v>
      </c>
      <c r="H157" s="201">
        <f>SUM(E$2:E157)</f>
        <v>9787.0191999999988</v>
      </c>
      <c r="I157" s="201">
        <f>SUM(F$2:F157)</f>
        <v>787.84906451612915</v>
      </c>
      <c r="J157" s="201">
        <f>Model!F$51</f>
        <v>23678.322499999998</v>
      </c>
      <c r="K157" s="201">
        <f>Model!G$51</f>
        <v>26052.648000000005</v>
      </c>
      <c r="L157" s="201">
        <f>Model!H$51</f>
        <v>27478.056499999995</v>
      </c>
      <c r="M157" s="201">
        <f>Model!I$51</f>
        <v>28903.236999999997</v>
      </c>
      <c r="N157" s="201">
        <f>Model!J$51</f>
        <v>29853.18</v>
      </c>
      <c r="O157" s="201">
        <f>Model!K$51</f>
        <v>0</v>
      </c>
      <c r="P157" s="201">
        <f>Model!L$51</f>
        <v>0</v>
      </c>
      <c r="Q157" s="201">
        <f>Model!M$51</f>
        <v>0</v>
      </c>
      <c r="R157" s="201">
        <f>Model!N$51</f>
        <v>0</v>
      </c>
      <c r="S157" s="201">
        <f>Model!R$51</f>
        <v>25000</v>
      </c>
      <c r="T157" s="204" t="str">
        <f t="shared" si="28"/>
        <v/>
      </c>
      <c r="U157" s="204" t="str">
        <f t="shared" si="29"/>
        <v/>
      </c>
      <c r="V157" s="204" t="str">
        <f t="shared" si="30"/>
        <v/>
      </c>
      <c r="W157" s="204" t="str">
        <f t="shared" si="27"/>
        <v/>
      </c>
      <c r="X157" s="204" t="str">
        <f t="shared" si="21"/>
        <v/>
      </c>
      <c r="Y157" s="204" t="str">
        <f t="shared" si="21"/>
        <v xml:space="preserve">  </v>
      </c>
      <c r="Z157" s="204" t="str">
        <f t="shared" si="21"/>
        <v xml:space="preserve">  </v>
      </c>
      <c r="AA157" s="204" t="str">
        <f t="shared" si="21"/>
        <v xml:space="preserve">  </v>
      </c>
      <c r="AB157" s="204" t="str">
        <f t="shared" si="31"/>
        <v xml:space="preserve">  </v>
      </c>
      <c r="AC157" s="204" t="str">
        <f t="shared" si="31"/>
        <v/>
      </c>
    </row>
    <row r="158" spans="1:29" x14ac:dyDescent="0.3">
      <c r="A158" s="202">
        <v>41431</v>
      </c>
      <c r="B158" s="203">
        <f t="shared" si="22"/>
        <v>6</v>
      </c>
      <c r="C158" s="203">
        <f t="shared" si="23"/>
        <v>1</v>
      </c>
      <c r="D158" s="201">
        <f t="shared" si="24"/>
        <v>217.34188666666665</v>
      </c>
      <c r="E158" s="201">
        <f t="shared" si="25"/>
        <v>271.86163999999997</v>
      </c>
      <c r="F158" s="201">
        <f t="shared" si="26"/>
        <v>157.56981290322582</v>
      </c>
      <c r="G158" s="201">
        <f>SUM(D$2:D158)</f>
        <v>8041.6503199999997</v>
      </c>
      <c r="H158" s="201">
        <f>SUM(E$2:E158)</f>
        <v>10058.880839999998</v>
      </c>
      <c r="I158" s="201">
        <f>SUM(F$2:F158)</f>
        <v>945.418877419355</v>
      </c>
      <c r="J158" s="201">
        <f>Model!F$51</f>
        <v>23678.322499999998</v>
      </c>
      <c r="K158" s="201">
        <f>Model!G$51</f>
        <v>26052.648000000005</v>
      </c>
      <c r="L158" s="201">
        <f>Model!H$51</f>
        <v>27478.056499999995</v>
      </c>
      <c r="M158" s="201">
        <f>Model!I$51</f>
        <v>28903.236999999997</v>
      </c>
      <c r="N158" s="201">
        <f>Model!J$51</f>
        <v>29853.18</v>
      </c>
      <c r="O158" s="201">
        <f>Model!K$51</f>
        <v>0</v>
      </c>
      <c r="P158" s="201">
        <f>Model!L$51</f>
        <v>0</v>
      </c>
      <c r="Q158" s="201">
        <f>Model!M$51</f>
        <v>0</v>
      </c>
      <c r="R158" s="201">
        <f>Model!N$51</f>
        <v>0</v>
      </c>
      <c r="S158" s="201">
        <f>Model!R$51</f>
        <v>25000</v>
      </c>
      <c r="T158" s="204" t="str">
        <f t="shared" si="28"/>
        <v/>
      </c>
      <c r="U158" s="204" t="str">
        <f t="shared" si="29"/>
        <v/>
      </c>
      <c r="V158" s="204" t="str">
        <f t="shared" si="30"/>
        <v/>
      </c>
      <c r="W158" s="204" t="str">
        <f t="shared" si="27"/>
        <v/>
      </c>
      <c r="X158" s="204" t="str">
        <f t="shared" si="21"/>
        <v/>
      </c>
      <c r="Y158" s="204" t="str">
        <f t="shared" si="21"/>
        <v xml:space="preserve">  </v>
      </c>
      <c r="Z158" s="204" t="str">
        <f t="shared" si="21"/>
        <v xml:space="preserve">  </v>
      </c>
      <c r="AA158" s="204" t="str">
        <f t="shared" si="21"/>
        <v xml:space="preserve">  </v>
      </c>
      <c r="AB158" s="204" t="str">
        <f t="shared" si="31"/>
        <v xml:space="preserve">  </v>
      </c>
      <c r="AC158" s="204" t="str">
        <f t="shared" si="31"/>
        <v/>
      </c>
    </row>
    <row r="159" spans="1:29" x14ac:dyDescent="0.3">
      <c r="A159" s="202">
        <v>41432</v>
      </c>
      <c r="B159" s="203">
        <f t="shared" si="22"/>
        <v>6</v>
      </c>
      <c r="C159" s="203">
        <f t="shared" si="23"/>
        <v>1</v>
      </c>
      <c r="D159" s="201">
        <f t="shared" si="24"/>
        <v>217.34188666666665</v>
      </c>
      <c r="E159" s="201">
        <f t="shared" si="25"/>
        <v>271.86163999999997</v>
      </c>
      <c r="F159" s="201">
        <f t="shared" si="26"/>
        <v>157.56981290322582</v>
      </c>
      <c r="G159" s="201">
        <f>SUM(D$2:D159)</f>
        <v>8258.9922066666659</v>
      </c>
      <c r="H159" s="201">
        <f>SUM(E$2:E159)</f>
        <v>10330.742479999997</v>
      </c>
      <c r="I159" s="201">
        <f>SUM(F$2:F159)</f>
        <v>1102.9886903225809</v>
      </c>
      <c r="J159" s="201">
        <f>Model!F$51</f>
        <v>23678.322499999998</v>
      </c>
      <c r="K159" s="201">
        <f>Model!G$51</f>
        <v>26052.648000000005</v>
      </c>
      <c r="L159" s="201">
        <f>Model!H$51</f>
        <v>27478.056499999995</v>
      </c>
      <c r="M159" s="201">
        <f>Model!I$51</f>
        <v>28903.236999999997</v>
      </c>
      <c r="N159" s="201">
        <f>Model!J$51</f>
        <v>29853.18</v>
      </c>
      <c r="O159" s="201">
        <f>Model!K$51</f>
        <v>0</v>
      </c>
      <c r="P159" s="201">
        <f>Model!L$51</f>
        <v>0</v>
      </c>
      <c r="Q159" s="201">
        <f>Model!M$51</f>
        <v>0</v>
      </c>
      <c r="R159" s="201">
        <f>Model!N$51</f>
        <v>0</v>
      </c>
      <c r="S159" s="201">
        <f>Model!R$51</f>
        <v>25000</v>
      </c>
      <c r="T159" s="204" t="str">
        <f t="shared" si="28"/>
        <v/>
      </c>
      <c r="U159" s="204" t="str">
        <f t="shared" si="29"/>
        <v/>
      </c>
      <c r="V159" s="204" t="str">
        <f t="shared" si="30"/>
        <v/>
      </c>
      <c r="W159" s="204" t="str">
        <f t="shared" si="27"/>
        <v/>
      </c>
      <c r="X159" s="204" t="str">
        <f t="shared" si="21"/>
        <v/>
      </c>
      <c r="Y159" s="204" t="str">
        <f t="shared" si="21"/>
        <v xml:space="preserve">  </v>
      </c>
      <c r="Z159" s="204" t="str">
        <f t="shared" si="21"/>
        <v xml:space="preserve">  </v>
      </c>
      <c r="AA159" s="204" t="str">
        <f t="shared" si="21"/>
        <v xml:space="preserve">  </v>
      </c>
      <c r="AB159" s="204" t="str">
        <f t="shared" si="31"/>
        <v xml:space="preserve">  </v>
      </c>
      <c r="AC159" s="204" t="str">
        <f t="shared" si="31"/>
        <v/>
      </c>
    </row>
    <row r="160" spans="1:29" x14ac:dyDescent="0.3">
      <c r="A160" s="202">
        <v>41433</v>
      </c>
      <c r="B160" s="203">
        <f t="shared" si="22"/>
        <v>6</v>
      </c>
      <c r="C160" s="203">
        <f t="shared" si="23"/>
        <v>1</v>
      </c>
      <c r="D160" s="201">
        <f t="shared" si="24"/>
        <v>217.34188666666665</v>
      </c>
      <c r="E160" s="201">
        <f t="shared" si="25"/>
        <v>271.86163999999997</v>
      </c>
      <c r="F160" s="201">
        <f t="shared" si="26"/>
        <v>157.56981290322582</v>
      </c>
      <c r="G160" s="201">
        <f>SUM(D$2:D160)</f>
        <v>8476.3340933333329</v>
      </c>
      <c r="H160" s="201">
        <f>SUM(E$2:E160)</f>
        <v>10602.604119999996</v>
      </c>
      <c r="I160" s="201">
        <f>SUM(F$2:F160)</f>
        <v>1260.5585032258066</v>
      </c>
      <c r="J160" s="201">
        <f>Model!F$51</f>
        <v>23678.322499999998</v>
      </c>
      <c r="K160" s="201">
        <f>Model!G$51</f>
        <v>26052.648000000005</v>
      </c>
      <c r="L160" s="201">
        <f>Model!H$51</f>
        <v>27478.056499999995</v>
      </c>
      <c r="M160" s="201">
        <f>Model!I$51</f>
        <v>28903.236999999997</v>
      </c>
      <c r="N160" s="201">
        <f>Model!J$51</f>
        <v>29853.18</v>
      </c>
      <c r="O160" s="201">
        <f>Model!K$51</f>
        <v>0</v>
      </c>
      <c r="P160" s="201">
        <f>Model!L$51</f>
        <v>0</v>
      </c>
      <c r="Q160" s="201">
        <f>Model!M$51</f>
        <v>0</v>
      </c>
      <c r="R160" s="201">
        <f>Model!N$51</f>
        <v>0</v>
      </c>
      <c r="S160" s="201">
        <f>Model!R$51</f>
        <v>25000</v>
      </c>
      <c r="T160" s="204" t="str">
        <f t="shared" si="28"/>
        <v/>
      </c>
      <c r="U160" s="204" t="str">
        <f t="shared" si="29"/>
        <v/>
      </c>
      <c r="V160" s="204" t="str">
        <f t="shared" si="30"/>
        <v/>
      </c>
      <c r="W160" s="204" t="str">
        <f t="shared" si="27"/>
        <v/>
      </c>
      <c r="X160" s="204" t="str">
        <f t="shared" si="21"/>
        <v/>
      </c>
      <c r="Y160" s="204" t="str">
        <f t="shared" si="21"/>
        <v xml:space="preserve">  </v>
      </c>
      <c r="Z160" s="204" t="str">
        <f t="shared" si="21"/>
        <v xml:space="preserve">  </v>
      </c>
      <c r="AA160" s="204" t="str">
        <f t="shared" si="21"/>
        <v xml:space="preserve">  </v>
      </c>
      <c r="AB160" s="204" t="str">
        <f t="shared" si="31"/>
        <v xml:space="preserve">  </v>
      </c>
      <c r="AC160" s="204" t="str">
        <f t="shared" si="31"/>
        <v/>
      </c>
    </row>
    <row r="161" spans="1:29" x14ac:dyDescent="0.3">
      <c r="A161" s="202">
        <v>41434</v>
      </c>
      <c r="B161" s="203">
        <f t="shared" si="22"/>
        <v>6</v>
      </c>
      <c r="C161" s="203">
        <f t="shared" si="23"/>
        <v>1</v>
      </c>
      <c r="D161" s="201">
        <f t="shared" si="24"/>
        <v>217.34188666666665</v>
      </c>
      <c r="E161" s="201">
        <f t="shared" si="25"/>
        <v>271.86163999999997</v>
      </c>
      <c r="F161" s="201">
        <f t="shared" si="26"/>
        <v>157.56981290322582</v>
      </c>
      <c r="G161" s="201">
        <f>SUM(D$2:D161)</f>
        <v>8693.67598</v>
      </c>
      <c r="H161" s="201">
        <f>SUM(E$2:E161)</f>
        <v>10874.465759999995</v>
      </c>
      <c r="I161" s="201">
        <f>SUM(F$2:F161)</f>
        <v>1418.1283161290323</v>
      </c>
      <c r="J161" s="201">
        <f>Model!F$51</f>
        <v>23678.322499999998</v>
      </c>
      <c r="K161" s="201">
        <f>Model!G$51</f>
        <v>26052.648000000005</v>
      </c>
      <c r="L161" s="201">
        <f>Model!H$51</f>
        <v>27478.056499999995</v>
      </c>
      <c r="M161" s="201">
        <f>Model!I$51</f>
        <v>28903.236999999997</v>
      </c>
      <c r="N161" s="201">
        <f>Model!J$51</f>
        <v>29853.18</v>
      </c>
      <c r="O161" s="201">
        <f>Model!K$51</f>
        <v>0</v>
      </c>
      <c r="P161" s="201">
        <f>Model!L$51</f>
        <v>0</v>
      </c>
      <c r="Q161" s="201">
        <f>Model!M$51</f>
        <v>0</v>
      </c>
      <c r="R161" s="201">
        <f>Model!N$51</f>
        <v>0</v>
      </c>
      <c r="S161" s="201">
        <f>Model!R$51</f>
        <v>25000</v>
      </c>
      <c r="T161" s="204" t="str">
        <f t="shared" si="28"/>
        <v/>
      </c>
      <c r="U161" s="204" t="str">
        <f t="shared" si="29"/>
        <v/>
      </c>
      <c r="V161" s="204" t="str">
        <f t="shared" si="30"/>
        <v/>
      </c>
      <c r="W161" s="204" t="str">
        <f t="shared" si="27"/>
        <v/>
      </c>
      <c r="X161" s="204" t="str">
        <f t="shared" si="21"/>
        <v/>
      </c>
      <c r="Y161" s="204" t="str">
        <f t="shared" si="21"/>
        <v xml:space="preserve">  </v>
      </c>
      <c r="Z161" s="204" t="str">
        <f t="shared" si="21"/>
        <v xml:space="preserve">  </v>
      </c>
      <c r="AA161" s="204" t="str">
        <f t="shared" si="21"/>
        <v xml:space="preserve">  </v>
      </c>
      <c r="AB161" s="204" t="str">
        <f t="shared" si="31"/>
        <v xml:space="preserve">  </v>
      </c>
      <c r="AC161" s="204" t="str">
        <f t="shared" si="31"/>
        <v/>
      </c>
    </row>
    <row r="162" spans="1:29" x14ac:dyDescent="0.3">
      <c r="A162" s="202">
        <v>41435</v>
      </c>
      <c r="B162" s="203">
        <f t="shared" si="22"/>
        <v>6</v>
      </c>
      <c r="C162" s="203">
        <f t="shared" si="23"/>
        <v>1</v>
      </c>
      <c r="D162" s="201">
        <f t="shared" si="24"/>
        <v>217.34188666666665</v>
      </c>
      <c r="E162" s="201">
        <f t="shared" si="25"/>
        <v>271.86163999999997</v>
      </c>
      <c r="F162" s="201">
        <f t="shared" si="26"/>
        <v>157.56981290322582</v>
      </c>
      <c r="G162" s="201">
        <f>SUM(D$2:D162)</f>
        <v>8911.017866666667</v>
      </c>
      <c r="H162" s="201">
        <f>SUM(E$2:E162)</f>
        <v>11146.327399999995</v>
      </c>
      <c r="I162" s="201">
        <f>SUM(F$2:F162)</f>
        <v>1575.6981290322581</v>
      </c>
      <c r="J162" s="201">
        <f>Model!F$51</f>
        <v>23678.322499999998</v>
      </c>
      <c r="K162" s="201">
        <f>Model!G$51</f>
        <v>26052.648000000005</v>
      </c>
      <c r="L162" s="201">
        <f>Model!H$51</f>
        <v>27478.056499999995</v>
      </c>
      <c r="M162" s="201">
        <f>Model!I$51</f>
        <v>28903.236999999997</v>
      </c>
      <c r="N162" s="201">
        <f>Model!J$51</f>
        <v>29853.18</v>
      </c>
      <c r="O162" s="201">
        <f>Model!K$51</f>
        <v>0</v>
      </c>
      <c r="P162" s="201">
        <f>Model!L$51</f>
        <v>0</v>
      </c>
      <c r="Q162" s="201">
        <f>Model!M$51</f>
        <v>0</v>
      </c>
      <c r="R162" s="201">
        <f>Model!N$51</f>
        <v>0</v>
      </c>
      <c r="S162" s="201">
        <f>Model!R$51</f>
        <v>25000</v>
      </c>
      <c r="T162" s="204" t="str">
        <f t="shared" si="28"/>
        <v/>
      </c>
      <c r="U162" s="204" t="str">
        <f t="shared" si="29"/>
        <v/>
      </c>
      <c r="V162" s="204" t="str">
        <f t="shared" si="30"/>
        <v/>
      </c>
      <c r="W162" s="204" t="str">
        <f t="shared" ref="W162:W194" si="32">IF(ISNUMBER(W161),"  ",IF(W161="  ","  ",IF($G162&gt;M162,$A162,"")))</f>
        <v/>
      </c>
      <c r="X162" s="204" t="str">
        <f t="shared" si="21"/>
        <v/>
      </c>
      <c r="Y162" s="204" t="str">
        <f t="shared" si="21"/>
        <v xml:space="preserve">  </v>
      </c>
      <c r="Z162" s="204" t="str">
        <f t="shared" si="21"/>
        <v xml:space="preserve">  </v>
      </c>
      <c r="AA162" s="204" t="str">
        <f t="shared" si="21"/>
        <v xml:space="preserve">  </v>
      </c>
      <c r="AB162" s="204" t="str">
        <f t="shared" si="31"/>
        <v xml:space="preserve">  </v>
      </c>
      <c r="AC162" s="204" t="str">
        <f t="shared" si="31"/>
        <v/>
      </c>
    </row>
    <row r="163" spans="1:29" x14ac:dyDescent="0.3">
      <c r="A163" s="202">
        <v>41436</v>
      </c>
      <c r="B163" s="203">
        <f t="shared" si="22"/>
        <v>6</v>
      </c>
      <c r="C163" s="203">
        <f t="shared" si="23"/>
        <v>1</v>
      </c>
      <c r="D163" s="201">
        <f t="shared" si="24"/>
        <v>217.34188666666665</v>
      </c>
      <c r="E163" s="201">
        <f t="shared" si="25"/>
        <v>271.86163999999997</v>
      </c>
      <c r="F163" s="201">
        <f t="shared" si="26"/>
        <v>157.56981290322582</v>
      </c>
      <c r="G163" s="201">
        <f>SUM(D$2:D163)</f>
        <v>9128.3597533333341</v>
      </c>
      <c r="H163" s="201">
        <f>SUM(E$2:E163)</f>
        <v>11418.189039999994</v>
      </c>
      <c r="I163" s="201">
        <f>SUM(F$2:F163)</f>
        <v>1733.2679419354838</v>
      </c>
      <c r="J163" s="201">
        <f>Model!F$51</f>
        <v>23678.322499999998</v>
      </c>
      <c r="K163" s="201">
        <f>Model!G$51</f>
        <v>26052.648000000005</v>
      </c>
      <c r="L163" s="201">
        <f>Model!H$51</f>
        <v>27478.056499999995</v>
      </c>
      <c r="M163" s="201">
        <f>Model!I$51</f>
        <v>28903.236999999997</v>
      </c>
      <c r="N163" s="201">
        <f>Model!J$51</f>
        <v>29853.18</v>
      </c>
      <c r="O163" s="201">
        <f>Model!K$51</f>
        <v>0</v>
      </c>
      <c r="P163" s="201">
        <f>Model!L$51</f>
        <v>0</v>
      </c>
      <c r="Q163" s="201">
        <f>Model!M$51</f>
        <v>0</v>
      </c>
      <c r="R163" s="201">
        <f>Model!N$51</f>
        <v>0</v>
      </c>
      <c r="S163" s="201">
        <f>Model!R$51</f>
        <v>25000</v>
      </c>
      <c r="T163" s="204" t="str">
        <f t="shared" ref="T163:T194" si="33">IF(ISNUMBER(T162),"  ",IF(T162="  ","  ",IF($G163&gt;J163,$A163,"")))</f>
        <v/>
      </c>
      <c r="U163" s="204" t="str">
        <f t="shared" si="29"/>
        <v/>
      </c>
      <c r="V163" s="204" t="str">
        <f t="shared" si="30"/>
        <v/>
      </c>
      <c r="W163" s="204" t="str">
        <f t="shared" si="32"/>
        <v/>
      </c>
      <c r="X163" s="204" t="str">
        <f t="shared" si="21"/>
        <v/>
      </c>
      <c r="Y163" s="204" t="str">
        <f t="shared" si="21"/>
        <v xml:space="preserve">  </v>
      </c>
      <c r="Z163" s="204" t="str">
        <f t="shared" si="21"/>
        <v xml:space="preserve">  </v>
      </c>
      <c r="AA163" s="204" t="str">
        <f t="shared" si="21"/>
        <v xml:space="preserve">  </v>
      </c>
      <c r="AB163" s="204" t="str">
        <f t="shared" si="31"/>
        <v xml:space="preserve">  </v>
      </c>
      <c r="AC163" s="204" t="str">
        <f t="shared" si="31"/>
        <v/>
      </c>
    </row>
    <row r="164" spans="1:29" x14ac:dyDescent="0.3">
      <c r="A164" s="202">
        <v>41437</v>
      </c>
      <c r="B164" s="203">
        <f t="shared" si="22"/>
        <v>6</v>
      </c>
      <c r="C164" s="203">
        <f t="shared" si="23"/>
        <v>1</v>
      </c>
      <c r="D164" s="201">
        <f t="shared" si="24"/>
        <v>217.34188666666665</v>
      </c>
      <c r="E164" s="201">
        <f t="shared" si="25"/>
        <v>271.86163999999997</v>
      </c>
      <c r="F164" s="201">
        <f t="shared" si="26"/>
        <v>157.56981290322582</v>
      </c>
      <c r="G164" s="201">
        <f>SUM(D$2:D164)</f>
        <v>9345.7016400000011</v>
      </c>
      <c r="H164" s="201">
        <f>SUM(E$2:E164)</f>
        <v>11690.050679999993</v>
      </c>
      <c r="I164" s="201">
        <f>SUM(F$2:F164)</f>
        <v>1890.8377548387095</v>
      </c>
      <c r="J164" s="201">
        <f>Model!F$51</f>
        <v>23678.322499999998</v>
      </c>
      <c r="K164" s="201">
        <f>Model!G$51</f>
        <v>26052.648000000005</v>
      </c>
      <c r="L164" s="201">
        <f>Model!H$51</f>
        <v>27478.056499999995</v>
      </c>
      <c r="M164" s="201">
        <f>Model!I$51</f>
        <v>28903.236999999997</v>
      </c>
      <c r="N164" s="201">
        <f>Model!J$51</f>
        <v>29853.18</v>
      </c>
      <c r="O164" s="201">
        <f>Model!K$51</f>
        <v>0</v>
      </c>
      <c r="P164" s="201">
        <f>Model!L$51</f>
        <v>0</v>
      </c>
      <c r="Q164" s="201">
        <f>Model!M$51</f>
        <v>0</v>
      </c>
      <c r="R164" s="201">
        <f>Model!N$51</f>
        <v>0</v>
      </c>
      <c r="S164" s="201">
        <f>Model!R$51</f>
        <v>25000</v>
      </c>
      <c r="T164" s="204" t="str">
        <f t="shared" si="33"/>
        <v/>
      </c>
      <c r="U164" s="204" t="str">
        <f t="shared" si="29"/>
        <v/>
      </c>
      <c r="V164" s="204" t="str">
        <f t="shared" si="30"/>
        <v/>
      </c>
      <c r="W164" s="204" t="str">
        <f t="shared" si="32"/>
        <v/>
      </c>
      <c r="X164" s="204" t="str">
        <f t="shared" si="21"/>
        <v/>
      </c>
      <c r="Y164" s="204" t="str">
        <f t="shared" si="21"/>
        <v xml:space="preserve">  </v>
      </c>
      <c r="Z164" s="204" t="str">
        <f t="shared" si="21"/>
        <v xml:space="preserve">  </v>
      </c>
      <c r="AA164" s="204" t="str">
        <f t="shared" si="21"/>
        <v xml:space="preserve">  </v>
      </c>
      <c r="AB164" s="204" t="str">
        <f t="shared" si="31"/>
        <v xml:space="preserve">  </v>
      </c>
      <c r="AC164" s="204" t="str">
        <f t="shared" si="31"/>
        <v/>
      </c>
    </row>
    <row r="165" spans="1:29" x14ac:dyDescent="0.3">
      <c r="A165" s="202">
        <v>41438</v>
      </c>
      <c r="B165" s="203">
        <f t="shared" si="22"/>
        <v>6</v>
      </c>
      <c r="C165" s="203">
        <f t="shared" si="23"/>
        <v>1</v>
      </c>
      <c r="D165" s="201">
        <f t="shared" si="24"/>
        <v>217.34188666666665</v>
      </c>
      <c r="E165" s="201">
        <f t="shared" si="25"/>
        <v>271.86163999999997</v>
      </c>
      <c r="F165" s="201">
        <f t="shared" si="26"/>
        <v>157.56981290322582</v>
      </c>
      <c r="G165" s="201">
        <f>SUM(D$2:D165)</f>
        <v>9563.0435266666682</v>
      </c>
      <c r="H165" s="201">
        <f>SUM(E$2:E165)</f>
        <v>11961.912319999992</v>
      </c>
      <c r="I165" s="201">
        <f>SUM(F$2:F165)</f>
        <v>2048.4075677419355</v>
      </c>
      <c r="J165" s="201">
        <f>Model!F$51</f>
        <v>23678.322499999998</v>
      </c>
      <c r="K165" s="201">
        <f>Model!G$51</f>
        <v>26052.648000000005</v>
      </c>
      <c r="L165" s="201">
        <f>Model!H$51</f>
        <v>27478.056499999995</v>
      </c>
      <c r="M165" s="201">
        <f>Model!I$51</f>
        <v>28903.236999999997</v>
      </c>
      <c r="N165" s="201">
        <f>Model!J$51</f>
        <v>29853.18</v>
      </c>
      <c r="O165" s="201">
        <f>Model!K$51</f>
        <v>0</v>
      </c>
      <c r="P165" s="201">
        <f>Model!L$51</f>
        <v>0</v>
      </c>
      <c r="Q165" s="201">
        <f>Model!M$51</f>
        <v>0</v>
      </c>
      <c r="R165" s="201">
        <f>Model!N$51</f>
        <v>0</v>
      </c>
      <c r="S165" s="201">
        <f>Model!R$51</f>
        <v>25000</v>
      </c>
      <c r="T165" s="204" t="str">
        <f t="shared" si="33"/>
        <v/>
      </c>
      <c r="U165" s="204" t="str">
        <f t="shared" si="29"/>
        <v/>
      </c>
      <c r="V165" s="204" t="str">
        <f t="shared" si="30"/>
        <v/>
      </c>
      <c r="W165" s="204" t="str">
        <f t="shared" si="32"/>
        <v/>
      </c>
      <c r="X165" s="204" t="str">
        <f t="shared" si="21"/>
        <v/>
      </c>
      <c r="Y165" s="204" t="str">
        <f t="shared" si="21"/>
        <v xml:space="preserve">  </v>
      </c>
      <c r="Z165" s="204" t="str">
        <f t="shared" si="21"/>
        <v xml:space="preserve">  </v>
      </c>
      <c r="AA165" s="204" t="str">
        <f t="shared" si="21"/>
        <v xml:space="preserve">  </v>
      </c>
      <c r="AB165" s="204" t="str">
        <f t="shared" si="31"/>
        <v xml:space="preserve">  </v>
      </c>
      <c r="AC165" s="204" t="str">
        <f t="shared" si="31"/>
        <v/>
      </c>
    </row>
    <row r="166" spans="1:29" x14ac:dyDescent="0.3">
      <c r="A166" s="202">
        <v>41439</v>
      </c>
      <c r="B166" s="203">
        <f t="shared" si="22"/>
        <v>6</v>
      </c>
      <c r="C166" s="203">
        <f t="shared" si="23"/>
        <v>1</v>
      </c>
      <c r="D166" s="201">
        <f t="shared" si="24"/>
        <v>217.34188666666665</v>
      </c>
      <c r="E166" s="201">
        <f t="shared" si="25"/>
        <v>271.86163999999997</v>
      </c>
      <c r="F166" s="201">
        <f t="shared" si="26"/>
        <v>157.56981290322582</v>
      </c>
      <c r="G166" s="201">
        <f>SUM(D$2:D166)</f>
        <v>9780.3854133333352</v>
      </c>
      <c r="H166" s="201">
        <f>SUM(E$2:E166)</f>
        <v>12233.773959999991</v>
      </c>
      <c r="I166" s="201">
        <f>SUM(F$2:F166)</f>
        <v>2205.9773806451612</v>
      </c>
      <c r="J166" s="201">
        <f>Model!F$51</f>
        <v>23678.322499999998</v>
      </c>
      <c r="K166" s="201">
        <f>Model!G$51</f>
        <v>26052.648000000005</v>
      </c>
      <c r="L166" s="201">
        <f>Model!H$51</f>
        <v>27478.056499999995</v>
      </c>
      <c r="M166" s="201">
        <f>Model!I$51</f>
        <v>28903.236999999997</v>
      </c>
      <c r="N166" s="201">
        <f>Model!J$51</f>
        <v>29853.18</v>
      </c>
      <c r="O166" s="201">
        <f>Model!K$51</f>
        <v>0</v>
      </c>
      <c r="P166" s="201">
        <f>Model!L$51</f>
        <v>0</v>
      </c>
      <c r="Q166" s="201">
        <f>Model!M$51</f>
        <v>0</v>
      </c>
      <c r="R166" s="201">
        <f>Model!N$51</f>
        <v>0</v>
      </c>
      <c r="S166" s="201">
        <f>Model!R$51</f>
        <v>25000</v>
      </c>
      <c r="T166" s="204" t="str">
        <f t="shared" si="33"/>
        <v/>
      </c>
      <c r="U166" s="204" t="str">
        <f t="shared" si="29"/>
        <v/>
      </c>
      <c r="V166" s="204" t="str">
        <f t="shared" si="30"/>
        <v/>
      </c>
      <c r="W166" s="204" t="str">
        <f t="shared" si="32"/>
        <v/>
      </c>
      <c r="X166" s="204" t="str">
        <f t="shared" si="21"/>
        <v/>
      </c>
      <c r="Y166" s="204" t="str">
        <f t="shared" si="21"/>
        <v xml:space="preserve">  </v>
      </c>
      <c r="Z166" s="204" t="str">
        <f t="shared" si="21"/>
        <v xml:space="preserve">  </v>
      </c>
      <c r="AA166" s="204" t="str">
        <f t="shared" si="21"/>
        <v xml:space="preserve">  </v>
      </c>
      <c r="AB166" s="204" t="str">
        <f t="shared" si="31"/>
        <v xml:space="preserve">  </v>
      </c>
      <c r="AC166" s="204" t="str">
        <f t="shared" si="31"/>
        <v/>
      </c>
    </row>
    <row r="167" spans="1:29" x14ac:dyDescent="0.3">
      <c r="A167" s="202">
        <v>41440</v>
      </c>
      <c r="B167" s="203">
        <f t="shared" si="22"/>
        <v>6</v>
      </c>
      <c r="C167" s="203">
        <f t="shared" si="23"/>
        <v>1</v>
      </c>
      <c r="D167" s="201">
        <f t="shared" si="24"/>
        <v>217.34188666666665</v>
      </c>
      <c r="E167" s="201">
        <f t="shared" si="25"/>
        <v>271.86163999999997</v>
      </c>
      <c r="F167" s="201">
        <f t="shared" si="26"/>
        <v>157.56981290322582</v>
      </c>
      <c r="G167" s="201">
        <f>SUM(D$2:D167)</f>
        <v>9997.7273000000023</v>
      </c>
      <c r="H167" s="201">
        <f>SUM(E$2:E167)</f>
        <v>12505.635599999991</v>
      </c>
      <c r="I167" s="201">
        <f>SUM(F$2:F167)</f>
        <v>2363.547193548387</v>
      </c>
      <c r="J167" s="201">
        <f>Model!F$51</f>
        <v>23678.322499999998</v>
      </c>
      <c r="K167" s="201">
        <f>Model!G$51</f>
        <v>26052.648000000005</v>
      </c>
      <c r="L167" s="201">
        <f>Model!H$51</f>
        <v>27478.056499999995</v>
      </c>
      <c r="M167" s="201">
        <f>Model!I$51</f>
        <v>28903.236999999997</v>
      </c>
      <c r="N167" s="201">
        <f>Model!J$51</f>
        <v>29853.18</v>
      </c>
      <c r="O167" s="201">
        <f>Model!K$51</f>
        <v>0</v>
      </c>
      <c r="P167" s="201">
        <f>Model!L$51</f>
        <v>0</v>
      </c>
      <c r="Q167" s="201">
        <f>Model!M$51</f>
        <v>0</v>
      </c>
      <c r="R167" s="201">
        <f>Model!N$51</f>
        <v>0</v>
      </c>
      <c r="S167" s="201">
        <f>Model!R$51</f>
        <v>25000</v>
      </c>
      <c r="T167" s="204" t="str">
        <f t="shared" si="33"/>
        <v/>
      </c>
      <c r="U167" s="204" t="str">
        <f t="shared" si="29"/>
        <v/>
      </c>
      <c r="V167" s="204" t="str">
        <f t="shared" si="30"/>
        <v/>
      </c>
      <c r="W167" s="204" t="str">
        <f t="shared" si="32"/>
        <v/>
      </c>
      <c r="X167" s="204" t="str">
        <f t="shared" si="21"/>
        <v/>
      </c>
      <c r="Y167" s="204" t="str">
        <f t="shared" si="21"/>
        <v xml:space="preserve">  </v>
      </c>
      <c r="Z167" s="204" t="str">
        <f t="shared" si="21"/>
        <v xml:space="preserve">  </v>
      </c>
      <c r="AA167" s="204" t="str">
        <f t="shared" si="21"/>
        <v xml:space="preserve">  </v>
      </c>
      <c r="AB167" s="204" t="str">
        <f t="shared" si="31"/>
        <v xml:space="preserve">  </v>
      </c>
      <c r="AC167" s="204" t="str">
        <f t="shared" si="31"/>
        <v/>
      </c>
    </row>
    <row r="168" spans="1:29" x14ac:dyDescent="0.3">
      <c r="A168" s="202">
        <v>41441</v>
      </c>
      <c r="B168" s="203">
        <f t="shared" si="22"/>
        <v>6</v>
      </c>
      <c r="C168" s="203">
        <f t="shared" si="23"/>
        <v>1</v>
      </c>
      <c r="D168" s="201">
        <f t="shared" si="24"/>
        <v>217.34188666666665</v>
      </c>
      <c r="E168" s="201">
        <f t="shared" si="25"/>
        <v>271.86163999999997</v>
      </c>
      <c r="F168" s="201">
        <f t="shared" si="26"/>
        <v>157.56981290322582</v>
      </c>
      <c r="G168" s="201">
        <f>SUM(D$2:D168)</f>
        <v>10215.069186666669</v>
      </c>
      <c r="H168" s="201">
        <f>SUM(E$2:E168)</f>
        <v>12777.49723999999</v>
      </c>
      <c r="I168" s="201">
        <f>SUM(F$2:F168)</f>
        <v>2521.1170064516127</v>
      </c>
      <c r="J168" s="201">
        <f>Model!F$51</f>
        <v>23678.322499999998</v>
      </c>
      <c r="K168" s="201">
        <f>Model!G$51</f>
        <v>26052.648000000005</v>
      </c>
      <c r="L168" s="201">
        <f>Model!H$51</f>
        <v>27478.056499999995</v>
      </c>
      <c r="M168" s="201">
        <f>Model!I$51</f>
        <v>28903.236999999997</v>
      </c>
      <c r="N168" s="201">
        <f>Model!J$51</f>
        <v>29853.18</v>
      </c>
      <c r="O168" s="201">
        <f>Model!K$51</f>
        <v>0</v>
      </c>
      <c r="P168" s="201">
        <f>Model!L$51</f>
        <v>0</v>
      </c>
      <c r="Q168" s="201">
        <f>Model!M$51</f>
        <v>0</v>
      </c>
      <c r="R168" s="201">
        <f>Model!N$51</f>
        <v>0</v>
      </c>
      <c r="S168" s="201">
        <f>Model!R$51</f>
        <v>25000</v>
      </c>
      <c r="T168" s="204" t="str">
        <f t="shared" si="33"/>
        <v/>
      </c>
      <c r="U168" s="204" t="str">
        <f t="shared" si="29"/>
        <v/>
      </c>
      <c r="V168" s="204" t="str">
        <f t="shared" si="30"/>
        <v/>
      </c>
      <c r="W168" s="204" t="str">
        <f t="shared" si="32"/>
        <v/>
      </c>
      <c r="X168" s="204" t="str">
        <f t="shared" si="21"/>
        <v/>
      </c>
      <c r="Y168" s="204" t="str">
        <f t="shared" si="21"/>
        <v xml:space="preserve">  </v>
      </c>
      <c r="Z168" s="204" t="str">
        <f t="shared" si="21"/>
        <v xml:space="preserve">  </v>
      </c>
      <c r="AA168" s="204" t="str">
        <f t="shared" si="21"/>
        <v xml:space="preserve">  </v>
      </c>
      <c r="AB168" s="204" t="str">
        <f t="shared" si="31"/>
        <v xml:space="preserve">  </v>
      </c>
      <c r="AC168" s="204" t="str">
        <f t="shared" si="31"/>
        <v/>
      </c>
    </row>
    <row r="169" spans="1:29" x14ac:dyDescent="0.3">
      <c r="A169" s="202">
        <v>41442</v>
      </c>
      <c r="B169" s="203">
        <f t="shared" si="22"/>
        <v>6</v>
      </c>
      <c r="C169" s="203">
        <f t="shared" si="23"/>
        <v>1</v>
      </c>
      <c r="D169" s="201">
        <f t="shared" si="24"/>
        <v>217.34188666666665</v>
      </c>
      <c r="E169" s="201">
        <f t="shared" si="25"/>
        <v>271.86163999999997</v>
      </c>
      <c r="F169" s="201">
        <f t="shared" si="26"/>
        <v>157.56981290322582</v>
      </c>
      <c r="G169" s="201">
        <f>SUM(D$2:D169)</f>
        <v>10432.411073333336</v>
      </c>
      <c r="H169" s="201">
        <f>SUM(E$2:E169)</f>
        <v>13049.358879999989</v>
      </c>
      <c r="I169" s="201">
        <f>SUM(F$2:F169)</f>
        <v>2678.6868193548385</v>
      </c>
      <c r="J169" s="201">
        <f>Model!F$51</f>
        <v>23678.322499999998</v>
      </c>
      <c r="K169" s="201">
        <f>Model!G$51</f>
        <v>26052.648000000005</v>
      </c>
      <c r="L169" s="201">
        <f>Model!H$51</f>
        <v>27478.056499999995</v>
      </c>
      <c r="M169" s="201">
        <f>Model!I$51</f>
        <v>28903.236999999997</v>
      </c>
      <c r="N169" s="201">
        <f>Model!J$51</f>
        <v>29853.18</v>
      </c>
      <c r="O169" s="201">
        <f>Model!K$51</f>
        <v>0</v>
      </c>
      <c r="P169" s="201">
        <f>Model!L$51</f>
        <v>0</v>
      </c>
      <c r="Q169" s="201">
        <f>Model!M$51</f>
        <v>0</v>
      </c>
      <c r="R169" s="201">
        <f>Model!N$51</f>
        <v>0</v>
      </c>
      <c r="S169" s="201">
        <f>Model!R$51</f>
        <v>25000</v>
      </c>
      <c r="T169" s="204" t="str">
        <f t="shared" si="33"/>
        <v/>
      </c>
      <c r="U169" s="204" t="str">
        <f t="shared" si="29"/>
        <v/>
      </c>
      <c r="V169" s="204" t="str">
        <f t="shared" si="30"/>
        <v/>
      </c>
      <c r="W169" s="204" t="str">
        <f t="shared" si="32"/>
        <v/>
      </c>
      <c r="X169" s="204" t="str">
        <f t="shared" si="21"/>
        <v/>
      </c>
      <c r="Y169" s="204" t="str">
        <f t="shared" si="21"/>
        <v xml:space="preserve">  </v>
      </c>
      <c r="Z169" s="204" t="str">
        <f t="shared" si="21"/>
        <v xml:space="preserve">  </v>
      </c>
      <c r="AA169" s="204" t="str">
        <f t="shared" si="21"/>
        <v xml:space="preserve">  </v>
      </c>
      <c r="AB169" s="204" t="str">
        <f t="shared" si="31"/>
        <v xml:space="preserve">  </v>
      </c>
      <c r="AC169" s="204" t="str">
        <f t="shared" si="31"/>
        <v/>
      </c>
    </row>
    <row r="170" spans="1:29" x14ac:dyDescent="0.3">
      <c r="A170" s="202">
        <v>41443</v>
      </c>
      <c r="B170" s="203">
        <f t="shared" si="22"/>
        <v>6</v>
      </c>
      <c r="C170" s="203">
        <f t="shared" si="23"/>
        <v>1</v>
      </c>
      <c r="D170" s="201">
        <f t="shared" si="24"/>
        <v>217.34188666666665</v>
      </c>
      <c r="E170" s="201">
        <f t="shared" si="25"/>
        <v>271.86163999999997</v>
      </c>
      <c r="F170" s="201">
        <f t="shared" si="26"/>
        <v>157.56981290322582</v>
      </c>
      <c r="G170" s="201">
        <f>SUM(D$2:D170)</f>
        <v>10649.752960000003</v>
      </c>
      <c r="H170" s="201">
        <f>SUM(E$2:E170)</f>
        <v>13321.220519999988</v>
      </c>
      <c r="I170" s="201">
        <f>SUM(F$2:F170)</f>
        <v>2836.2566322580642</v>
      </c>
      <c r="J170" s="201">
        <f>Model!F$51</f>
        <v>23678.322499999998</v>
      </c>
      <c r="K170" s="201">
        <f>Model!G$51</f>
        <v>26052.648000000005</v>
      </c>
      <c r="L170" s="201">
        <f>Model!H$51</f>
        <v>27478.056499999995</v>
      </c>
      <c r="M170" s="201">
        <f>Model!I$51</f>
        <v>28903.236999999997</v>
      </c>
      <c r="N170" s="201">
        <f>Model!J$51</f>
        <v>29853.18</v>
      </c>
      <c r="O170" s="201">
        <f>Model!K$51</f>
        <v>0</v>
      </c>
      <c r="P170" s="201">
        <f>Model!L$51</f>
        <v>0</v>
      </c>
      <c r="Q170" s="201">
        <f>Model!M$51</f>
        <v>0</v>
      </c>
      <c r="R170" s="201">
        <f>Model!N$51</f>
        <v>0</v>
      </c>
      <c r="S170" s="201">
        <f>Model!R$51</f>
        <v>25000</v>
      </c>
      <c r="T170" s="204" t="str">
        <f t="shared" si="33"/>
        <v/>
      </c>
      <c r="U170" s="204" t="str">
        <f t="shared" si="29"/>
        <v/>
      </c>
      <c r="V170" s="204" t="str">
        <f t="shared" si="30"/>
        <v/>
      </c>
      <c r="W170" s="204" t="str">
        <f t="shared" si="32"/>
        <v/>
      </c>
      <c r="X170" s="204" t="str">
        <f t="shared" si="21"/>
        <v/>
      </c>
      <c r="Y170" s="204" t="str">
        <f t="shared" si="21"/>
        <v xml:space="preserve">  </v>
      </c>
      <c r="Z170" s="204" t="str">
        <f t="shared" si="21"/>
        <v xml:space="preserve">  </v>
      </c>
      <c r="AA170" s="204" t="str">
        <f t="shared" si="21"/>
        <v xml:space="preserve">  </v>
      </c>
      <c r="AB170" s="204" t="str">
        <f t="shared" si="31"/>
        <v xml:space="preserve">  </v>
      </c>
      <c r="AC170" s="204" t="str">
        <f t="shared" si="31"/>
        <v/>
      </c>
    </row>
    <row r="171" spans="1:29" x14ac:dyDescent="0.3">
      <c r="A171" s="202">
        <v>41444</v>
      </c>
      <c r="B171" s="203">
        <f t="shared" si="22"/>
        <v>6</v>
      </c>
      <c r="C171" s="203">
        <f t="shared" si="23"/>
        <v>1</v>
      </c>
      <c r="D171" s="201">
        <f t="shared" si="24"/>
        <v>217.34188666666665</v>
      </c>
      <c r="E171" s="201">
        <f t="shared" si="25"/>
        <v>271.86163999999997</v>
      </c>
      <c r="F171" s="201">
        <f t="shared" si="26"/>
        <v>157.56981290322582</v>
      </c>
      <c r="G171" s="201">
        <f>SUM(D$2:D171)</f>
        <v>10867.09484666667</v>
      </c>
      <c r="H171" s="201">
        <f>SUM(E$2:E171)</f>
        <v>13593.082159999987</v>
      </c>
      <c r="I171" s="201">
        <f>SUM(F$2:F171)</f>
        <v>2993.8264451612899</v>
      </c>
      <c r="J171" s="201">
        <f>Model!F$51</f>
        <v>23678.322499999998</v>
      </c>
      <c r="K171" s="201">
        <f>Model!G$51</f>
        <v>26052.648000000005</v>
      </c>
      <c r="L171" s="201">
        <f>Model!H$51</f>
        <v>27478.056499999995</v>
      </c>
      <c r="M171" s="201">
        <f>Model!I$51</f>
        <v>28903.236999999997</v>
      </c>
      <c r="N171" s="201">
        <f>Model!J$51</f>
        <v>29853.18</v>
      </c>
      <c r="O171" s="201">
        <f>Model!K$51</f>
        <v>0</v>
      </c>
      <c r="P171" s="201">
        <f>Model!L$51</f>
        <v>0</v>
      </c>
      <c r="Q171" s="201">
        <f>Model!M$51</f>
        <v>0</v>
      </c>
      <c r="R171" s="201">
        <f>Model!N$51</f>
        <v>0</v>
      </c>
      <c r="S171" s="201">
        <f>Model!R$51</f>
        <v>25000</v>
      </c>
      <c r="T171" s="204" t="str">
        <f t="shared" si="33"/>
        <v/>
      </c>
      <c r="U171" s="204" t="str">
        <f t="shared" si="29"/>
        <v/>
      </c>
      <c r="V171" s="204" t="str">
        <f t="shared" si="30"/>
        <v/>
      </c>
      <c r="W171" s="204" t="str">
        <f t="shared" si="32"/>
        <v/>
      </c>
      <c r="X171" s="204" t="str">
        <f t="shared" si="21"/>
        <v/>
      </c>
      <c r="Y171" s="204" t="str">
        <f t="shared" si="21"/>
        <v xml:space="preserve">  </v>
      </c>
      <c r="Z171" s="204" t="str">
        <f t="shared" si="21"/>
        <v xml:space="preserve">  </v>
      </c>
      <c r="AA171" s="204" t="str">
        <f t="shared" si="21"/>
        <v xml:space="preserve">  </v>
      </c>
      <c r="AB171" s="204" t="str">
        <f t="shared" si="31"/>
        <v xml:space="preserve">  </v>
      </c>
      <c r="AC171" s="204" t="str">
        <f t="shared" si="31"/>
        <v/>
      </c>
    </row>
    <row r="172" spans="1:29" x14ac:dyDescent="0.3">
      <c r="A172" s="202">
        <v>41445</v>
      </c>
      <c r="B172" s="203">
        <f t="shared" si="22"/>
        <v>6</v>
      </c>
      <c r="C172" s="203">
        <f t="shared" si="23"/>
        <v>1</v>
      </c>
      <c r="D172" s="201">
        <f t="shared" si="24"/>
        <v>217.34188666666665</v>
      </c>
      <c r="E172" s="201">
        <f t="shared" si="25"/>
        <v>271.86163999999997</v>
      </c>
      <c r="F172" s="201">
        <f t="shared" si="26"/>
        <v>157.56981290322582</v>
      </c>
      <c r="G172" s="201">
        <f>SUM(D$2:D172)</f>
        <v>11084.436733333338</v>
      </c>
      <c r="H172" s="201">
        <f>SUM(E$2:E172)</f>
        <v>13864.943799999986</v>
      </c>
      <c r="I172" s="201">
        <f>SUM(F$2:F172)</f>
        <v>3151.3962580645157</v>
      </c>
      <c r="J172" s="201">
        <f>Model!F$51</f>
        <v>23678.322499999998</v>
      </c>
      <c r="K172" s="201">
        <f>Model!G$51</f>
        <v>26052.648000000005</v>
      </c>
      <c r="L172" s="201">
        <f>Model!H$51</f>
        <v>27478.056499999995</v>
      </c>
      <c r="M172" s="201">
        <f>Model!I$51</f>
        <v>28903.236999999997</v>
      </c>
      <c r="N172" s="201">
        <f>Model!J$51</f>
        <v>29853.18</v>
      </c>
      <c r="O172" s="201">
        <f>Model!K$51</f>
        <v>0</v>
      </c>
      <c r="P172" s="201">
        <f>Model!L$51</f>
        <v>0</v>
      </c>
      <c r="Q172" s="201">
        <f>Model!M$51</f>
        <v>0</v>
      </c>
      <c r="R172" s="201">
        <f>Model!N$51</f>
        <v>0</v>
      </c>
      <c r="S172" s="201">
        <f>Model!R$51</f>
        <v>25000</v>
      </c>
      <c r="T172" s="204" t="str">
        <f t="shared" si="33"/>
        <v/>
      </c>
      <c r="U172" s="204" t="str">
        <f t="shared" si="29"/>
        <v/>
      </c>
      <c r="V172" s="204" t="str">
        <f t="shared" si="30"/>
        <v/>
      </c>
      <c r="W172" s="204" t="str">
        <f t="shared" si="32"/>
        <v/>
      </c>
      <c r="X172" s="204" t="str">
        <f t="shared" si="21"/>
        <v/>
      </c>
      <c r="Y172" s="204" t="str">
        <f t="shared" si="21"/>
        <v xml:space="preserve">  </v>
      </c>
      <c r="Z172" s="204" t="str">
        <f t="shared" si="21"/>
        <v xml:space="preserve">  </v>
      </c>
      <c r="AA172" s="204" t="str">
        <f t="shared" si="21"/>
        <v xml:space="preserve">  </v>
      </c>
      <c r="AB172" s="204" t="str">
        <f t="shared" si="31"/>
        <v xml:space="preserve">  </v>
      </c>
      <c r="AC172" s="204" t="str">
        <f t="shared" si="31"/>
        <v/>
      </c>
    </row>
    <row r="173" spans="1:29" x14ac:dyDescent="0.3">
      <c r="A173" s="202">
        <v>41446</v>
      </c>
      <c r="B173" s="203">
        <f t="shared" si="22"/>
        <v>6</v>
      </c>
      <c r="C173" s="203">
        <f t="shared" si="23"/>
        <v>1</v>
      </c>
      <c r="D173" s="201">
        <f t="shared" si="24"/>
        <v>217.34188666666665</v>
      </c>
      <c r="E173" s="201">
        <f t="shared" si="25"/>
        <v>271.86163999999997</v>
      </c>
      <c r="F173" s="201">
        <f t="shared" si="26"/>
        <v>157.56981290322582</v>
      </c>
      <c r="G173" s="201">
        <f>SUM(D$2:D173)</f>
        <v>11301.778620000005</v>
      </c>
      <c r="H173" s="201">
        <f>SUM(E$2:E173)</f>
        <v>14136.805439999986</v>
      </c>
      <c r="I173" s="201">
        <f>SUM(F$2:F173)</f>
        <v>3308.9660709677414</v>
      </c>
      <c r="J173" s="201">
        <f>Model!F$51</f>
        <v>23678.322499999998</v>
      </c>
      <c r="K173" s="201">
        <f>Model!G$51</f>
        <v>26052.648000000005</v>
      </c>
      <c r="L173" s="201">
        <f>Model!H$51</f>
        <v>27478.056499999995</v>
      </c>
      <c r="M173" s="201">
        <f>Model!I$51</f>
        <v>28903.236999999997</v>
      </c>
      <c r="N173" s="201">
        <f>Model!J$51</f>
        <v>29853.18</v>
      </c>
      <c r="O173" s="201">
        <f>Model!K$51</f>
        <v>0</v>
      </c>
      <c r="P173" s="201">
        <f>Model!L$51</f>
        <v>0</v>
      </c>
      <c r="Q173" s="201">
        <f>Model!M$51</f>
        <v>0</v>
      </c>
      <c r="R173" s="201">
        <f>Model!N$51</f>
        <v>0</v>
      </c>
      <c r="S173" s="201">
        <f>Model!R$51</f>
        <v>25000</v>
      </c>
      <c r="T173" s="204" t="str">
        <f t="shared" si="33"/>
        <v/>
      </c>
      <c r="U173" s="204" t="str">
        <f t="shared" si="29"/>
        <v/>
      </c>
      <c r="V173" s="204" t="str">
        <f t="shared" si="30"/>
        <v/>
      </c>
      <c r="W173" s="204" t="str">
        <f t="shared" si="32"/>
        <v/>
      </c>
      <c r="X173" s="204" t="str">
        <f t="shared" si="21"/>
        <v/>
      </c>
      <c r="Y173" s="204" t="str">
        <f t="shared" si="21"/>
        <v xml:space="preserve">  </v>
      </c>
      <c r="Z173" s="204" t="str">
        <f t="shared" si="21"/>
        <v xml:space="preserve">  </v>
      </c>
      <c r="AA173" s="204" t="str">
        <f t="shared" si="21"/>
        <v xml:space="preserve">  </v>
      </c>
      <c r="AB173" s="204" t="str">
        <f t="shared" si="31"/>
        <v xml:space="preserve">  </v>
      </c>
      <c r="AC173" s="204" t="str">
        <f t="shared" si="31"/>
        <v/>
      </c>
    </row>
    <row r="174" spans="1:29" x14ac:dyDescent="0.3">
      <c r="A174" s="202">
        <v>41447</v>
      </c>
      <c r="B174" s="203">
        <f t="shared" si="22"/>
        <v>6</v>
      </c>
      <c r="C174" s="203">
        <f t="shared" si="23"/>
        <v>1</v>
      </c>
      <c r="D174" s="201">
        <f t="shared" si="24"/>
        <v>217.34188666666665</v>
      </c>
      <c r="E174" s="201">
        <f t="shared" si="25"/>
        <v>271.86163999999997</v>
      </c>
      <c r="F174" s="201">
        <f t="shared" si="26"/>
        <v>157.56981290322582</v>
      </c>
      <c r="G174" s="201">
        <f>SUM(D$2:D174)</f>
        <v>11519.120506666672</v>
      </c>
      <c r="H174" s="201">
        <f>SUM(E$2:E174)</f>
        <v>14408.667079999985</v>
      </c>
      <c r="I174" s="201">
        <f>SUM(F$2:F174)</f>
        <v>3466.5358838709672</v>
      </c>
      <c r="J174" s="201">
        <f>Model!F$51</f>
        <v>23678.322499999998</v>
      </c>
      <c r="K174" s="201">
        <f>Model!G$51</f>
        <v>26052.648000000005</v>
      </c>
      <c r="L174" s="201">
        <f>Model!H$51</f>
        <v>27478.056499999995</v>
      </c>
      <c r="M174" s="201">
        <f>Model!I$51</f>
        <v>28903.236999999997</v>
      </c>
      <c r="N174" s="201">
        <f>Model!J$51</f>
        <v>29853.18</v>
      </c>
      <c r="O174" s="201">
        <f>Model!K$51</f>
        <v>0</v>
      </c>
      <c r="P174" s="201">
        <f>Model!L$51</f>
        <v>0</v>
      </c>
      <c r="Q174" s="201">
        <f>Model!M$51</f>
        <v>0</v>
      </c>
      <c r="R174" s="201">
        <f>Model!N$51</f>
        <v>0</v>
      </c>
      <c r="S174" s="201">
        <f>Model!R$51</f>
        <v>25000</v>
      </c>
      <c r="T174" s="204" t="str">
        <f t="shared" si="33"/>
        <v/>
      </c>
      <c r="U174" s="204" t="str">
        <f t="shared" si="29"/>
        <v/>
      </c>
      <c r="V174" s="204" t="str">
        <f t="shared" si="30"/>
        <v/>
      </c>
      <c r="W174" s="204" t="str">
        <f t="shared" si="32"/>
        <v/>
      </c>
      <c r="X174" s="204" t="str">
        <f t="shared" si="21"/>
        <v/>
      </c>
      <c r="Y174" s="204" t="str">
        <f t="shared" si="21"/>
        <v xml:space="preserve">  </v>
      </c>
      <c r="Z174" s="204" t="str">
        <f t="shared" si="21"/>
        <v xml:space="preserve">  </v>
      </c>
      <c r="AA174" s="204" t="str">
        <f t="shared" si="21"/>
        <v xml:space="preserve">  </v>
      </c>
      <c r="AB174" s="204" t="str">
        <f t="shared" si="31"/>
        <v xml:space="preserve">  </v>
      </c>
      <c r="AC174" s="204" t="str">
        <f t="shared" si="31"/>
        <v/>
      </c>
    </row>
    <row r="175" spans="1:29" x14ac:dyDescent="0.3">
      <c r="A175" s="202">
        <v>41448</v>
      </c>
      <c r="B175" s="203">
        <f t="shared" si="22"/>
        <v>6</v>
      </c>
      <c r="C175" s="203">
        <f t="shared" si="23"/>
        <v>1</v>
      </c>
      <c r="D175" s="201">
        <f t="shared" si="24"/>
        <v>217.34188666666665</v>
      </c>
      <c r="E175" s="201">
        <f t="shared" si="25"/>
        <v>271.86163999999997</v>
      </c>
      <c r="F175" s="201">
        <f t="shared" si="26"/>
        <v>157.56981290322582</v>
      </c>
      <c r="G175" s="201">
        <f>SUM(D$2:D175)</f>
        <v>11736.462393333339</v>
      </c>
      <c r="H175" s="201">
        <f>SUM(E$2:E175)</f>
        <v>14680.528719999984</v>
      </c>
      <c r="I175" s="201">
        <f>SUM(F$2:F175)</f>
        <v>3624.1056967741929</v>
      </c>
      <c r="J175" s="201">
        <f>Model!F$51</f>
        <v>23678.322499999998</v>
      </c>
      <c r="K175" s="201">
        <f>Model!G$51</f>
        <v>26052.648000000005</v>
      </c>
      <c r="L175" s="201">
        <f>Model!H$51</f>
        <v>27478.056499999995</v>
      </c>
      <c r="M175" s="201">
        <f>Model!I$51</f>
        <v>28903.236999999997</v>
      </c>
      <c r="N175" s="201">
        <f>Model!J$51</f>
        <v>29853.18</v>
      </c>
      <c r="O175" s="201">
        <f>Model!K$51</f>
        <v>0</v>
      </c>
      <c r="P175" s="201">
        <f>Model!L$51</f>
        <v>0</v>
      </c>
      <c r="Q175" s="201">
        <f>Model!M$51</f>
        <v>0</v>
      </c>
      <c r="R175" s="201">
        <f>Model!N$51</f>
        <v>0</v>
      </c>
      <c r="S175" s="201">
        <f>Model!R$51</f>
        <v>25000</v>
      </c>
      <c r="T175" s="204" t="str">
        <f t="shared" si="33"/>
        <v/>
      </c>
      <c r="U175" s="204" t="str">
        <f t="shared" si="29"/>
        <v/>
      </c>
      <c r="V175" s="204" t="str">
        <f t="shared" si="30"/>
        <v/>
      </c>
      <c r="W175" s="204" t="str">
        <f t="shared" si="32"/>
        <v/>
      </c>
      <c r="X175" s="204" t="str">
        <f t="shared" si="21"/>
        <v/>
      </c>
      <c r="Y175" s="204" t="str">
        <f t="shared" si="21"/>
        <v xml:space="preserve">  </v>
      </c>
      <c r="Z175" s="204" t="str">
        <f t="shared" si="21"/>
        <v xml:space="preserve">  </v>
      </c>
      <c r="AA175" s="204" t="str">
        <f t="shared" si="21"/>
        <v xml:space="preserve">  </v>
      </c>
      <c r="AB175" s="204" t="str">
        <f t="shared" si="31"/>
        <v xml:space="preserve">  </v>
      </c>
      <c r="AC175" s="204" t="str">
        <f t="shared" si="31"/>
        <v/>
      </c>
    </row>
    <row r="176" spans="1:29" x14ac:dyDescent="0.3">
      <c r="A176" s="202">
        <v>41449</v>
      </c>
      <c r="B176" s="203">
        <f t="shared" si="22"/>
        <v>6</v>
      </c>
      <c r="C176" s="203">
        <f t="shared" si="23"/>
        <v>1</v>
      </c>
      <c r="D176" s="201">
        <f t="shared" si="24"/>
        <v>217.34188666666665</v>
      </c>
      <c r="E176" s="201">
        <f t="shared" si="25"/>
        <v>271.86163999999997</v>
      </c>
      <c r="F176" s="201">
        <f t="shared" si="26"/>
        <v>157.56981290322582</v>
      </c>
      <c r="G176" s="201">
        <f>SUM(D$2:D176)</f>
        <v>11953.804280000006</v>
      </c>
      <c r="H176" s="201">
        <f>SUM(E$2:E176)</f>
        <v>14952.390359999983</v>
      </c>
      <c r="I176" s="201">
        <f>SUM(F$2:F176)</f>
        <v>3781.6755096774186</v>
      </c>
      <c r="J176" s="201">
        <f>Model!F$51</f>
        <v>23678.322499999998</v>
      </c>
      <c r="K176" s="201">
        <f>Model!G$51</f>
        <v>26052.648000000005</v>
      </c>
      <c r="L176" s="201">
        <f>Model!H$51</f>
        <v>27478.056499999995</v>
      </c>
      <c r="M176" s="201">
        <f>Model!I$51</f>
        <v>28903.236999999997</v>
      </c>
      <c r="N176" s="201">
        <f>Model!J$51</f>
        <v>29853.18</v>
      </c>
      <c r="O176" s="201">
        <f>Model!K$51</f>
        <v>0</v>
      </c>
      <c r="P176" s="201">
        <f>Model!L$51</f>
        <v>0</v>
      </c>
      <c r="Q176" s="201">
        <f>Model!M$51</f>
        <v>0</v>
      </c>
      <c r="R176" s="201">
        <f>Model!N$51</f>
        <v>0</v>
      </c>
      <c r="S176" s="201">
        <f>Model!R$51</f>
        <v>25000</v>
      </c>
      <c r="T176" s="204" t="str">
        <f t="shared" si="33"/>
        <v/>
      </c>
      <c r="U176" s="204" t="str">
        <f t="shared" si="29"/>
        <v/>
      </c>
      <c r="V176" s="204" t="str">
        <f t="shared" si="30"/>
        <v/>
      </c>
      <c r="W176" s="204" t="str">
        <f t="shared" si="32"/>
        <v/>
      </c>
      <c r="X176" s="204" t="str">
        <f t="shared" si="21"/>
        <v/>
      </c>
      <c r="Y176" s="204" t="str">
        <f t="shared" si="21"/>
        <v xml:space="preserve">  </v>
      </c>
      <c r="Z176" s="204" t="str">
        <f t="shared" si="21"/>
        <v xml:space="preserve">  </v>
      </c>
      <c r="AA176" s="204" t="str">
        <f t="shared" si="21"/>
        <v xml:space="preserve">  </v>
      </c>
      <c r="AB176" s="204" t="str">
        <f t="shared" si="31"/>
        <v xml:space="preserve">  </v>
      </c>
      <c r="AC176" s="204" t="str">
        <f t="shared" si="31"/>
        <v/>
      </c>
    </row>
    <row r="177" spans="1:29" x14ac:dyDescent="0.3">
      <c r="A177" s="202">
        <v>41450</v>
      </c>
      <c r="B177" s="203">
        <f t="shared" si="22"/>
        <v>6</v>
      </c>
      <c r="C177" s="203">
        <f t="shared" si="23"/>
        <v>1</v>
      </c>
      <c r="D177" s="201">
        <f t="shared" si="24"/>
        <v>217.34188666666665</v>
      </c>
      <c r="E177" s="201">
        <f t="shared" si="25"/>
        <v>271.86163999999997</v>
      </c>
      <c r="F177" s="201">
        <f t="shared" si="26"/>
        <v>157.56981290322582</v>
      </c>
      <c r="G177" s="201">
        <f>SUM(D$2:D177)</f>
        <v>12171.146166666673</v>
      </c>
      <c r="H177" s="201">
        <f>SUM(E$2:E177)</f>
        <v>15224.251999999982</v>
      </c>
      <c r="I177" s="201">
        <f>SUM(F$2:F177)</f>
        <v>3939.2453225806444</v>
      </c>
      <c r="J177" s="201">
        <f>Model!F$51</f>
        <v>23678.322499999998</v>
      </c>
      <c r="K177" s="201">
        <f>Model!G$51</f>
        <v>26052.648000000005</v>
      </c>
      <c r="L177" s="201">
        <f>Model!H$51</f>
        <v>27478.056499999995</v>
      </c>
      <c r="M177" s="201">
        <f>Model!I$51</f>
        <v>28903.236999999997</v>
      </c>
      <c r="N177" s="201">
        <f>Model!J$51</f>
        <v>29853.18</v>
      </c>
      <c r="O177" s="201">
        <f>Model!K$51</f>
        <v>0</v>
      </c>
      <c r="P177" s="201">
        <f>Model!L$51</f>
        <v>0</v>
      </c>
      <c r="Q177" s="201">
        <f>Model!M$51</f>
        <v>0</v>
      </c>
      <c r="R177" s="201">
        <f>Model!N$51</f>
        <v>0</v>
      </c>
      <c r="S177" s="201">
        <f>Model!R$51</f>
        <v>25000</v>
      </c>
      <c r="T177" s="204" t="str">
        <f t="shared" si="33"/>
        <v/>
      </c>
      <c r="U177" s="204" t="str">
        <f t="shared" si="29"/>
        <v/>
      </c>
      <c r="V177" s="204" t="str">
        <f t="shared" si="30"/>
        <v/>
      </c>
      <c r="W177" s="204" t="str">
        <f t="shared" si="32"/>
        <v/>
      </c>
      <c r="X177" s="204" t="str">
        <f t="shared" si="21"/>
        <v/>
      </c>
      <c r="Y177" s="204" t="str">
        <f t="shared" si="21"/>
        <v xml:space="preserve">  </v>
      </c>
      <c r="Z177" s="204" t="str">
        <f t="shared" si="21"/>
        <v xml:space="preserve">  </v>
      </c>
      <c r="AA177" s="204" t="str">
        <f t="shared" si="21"/>
        <v xml:space="preserve">  </v>
      </c>
      <c r="AB177" s="204" t="str">
        <f t="shared" si="31"/>
        <v xml:space="preserve">  </v>
      </c>
      <c r="AC177" s="204" t="str">
        <f t="shared" si="31"/>
        <v/>
      </c>
    </row>
    <row r="178" spans="1:29" x14ac:dyDescent="0.3">
      <c r="A178" s="202">
        <v>41451</v>
      </c>
      <c r="B178" s="203">
        <f t="shared" si="22"/>
        <v>6</v>
      </c>
      <c r="C178" s="203">
        <f t="shared" si="23"/>
        <v>1</v>
      </c>
      <c r="D178" s="201">
        <f t="shared" si="24"/>
        <v>217.34188666666665</v>
      </c>
      <c r="E178" s="201">
        <f t="shared" si="25"/>
        <v>271.86163999999997</v>
      </c>
      <c r="F178" s="201">
        <f t="shared" si="26"/>
        <v>157.56981290322582</v>
      </c>
      <c r="G178" s="201">
        <f>SUM(D$2:D178)</f>
        <v>12388.48805333334</v>
      </c>
      <c r="H178" s="201">
        <f>SUM(E$2:E178)</f>
        <v>15496.113639999981</v>
      </c>
      <c r="I178" s="201">
        <f>SUM(F$2:F178)</f>
        <v>4096.8151354838701</v>
      </c>
      <c r="J178" s="201">
        <f>Model!F$51</f>
        <v>23678.322499999998</v>
      </c>
      <c r="K178" s="201">
        <f>Model!G$51</f>
        <v>26052.648000000005</v>
      </c>
      <c r="L178" s="201">
        <f>Model!H$51</f>
        <v>27478.056499999995</v>
      </c>
      <c r="M178" s="201">
        <f>Model!I$51</f>
        <v>28903.236999999997</v>
      </c>
      <c r="N178" s="201">
        <f>Model!J$51</f>
        <v>29853.18</v>
      </c>
      <c r="O178" s="201">
        <f>Model!K$51</f>
        <v>0</v>
      </c>
      <c r="P178" s="201">
        <f>Model!L$51</f>
        <v>0</v>
      </c>
      <c r="Q178" s="201">
        <f>Model!M$51</f>
        <v>0</v>
      </c>
      <c r="R178" s="201">
        <f>Model!N$51</f>
        <v>0</v>
      </c>
      <c r="S178" s="201">
        <f>Model!R$51</f>
        <v>25000</v>
      </c>
      <c r="T178" s="204" t="str">
        <f t="shared" si="33"/>
        <v/>
      </c>
      <c r="U178" s="204" t="str">
        <f t="shared" si="29"/>
        <v/>
      </c>
      <c r="V178" s="204" t="str">
        <f t="shared" si="30"/>
        <v/>
      </c>
      <c r="W178" s="204" t="str">
        <f t="shared" si="32"/>
        <v/>
      </c>
      <c r="X178" s="204" t="str">
        <f t="shared" si="21"/>
        <v/>
      </c>
      <c r="Y178" s="204" t="str">
        <f t="shared" si="21"/>
        <v xml:space="preserve">  </v>
      </c>
      <c r="Z178" s="204" t="str">
        <f t="shared" si="21"/>
        <v xml:space="preserve">  </v>
      </c>
      <c r="AA178" s="204" t="str">
        <f t="shared" si="21"/>
        <v xml:space="preserve">  </v>
      </c>
      <c r="AB178" s="204" t="str">
        <f t="shared" si="31"/>
        <v xml:space="preserve">  </v>
      </c>
      <c r="AC178" s="204" t="str">
        <f t="shared" si="31"/>
        <v/>
      </c>
    </row>
    <row r="179" spans="1:29" x14ac:dyDescent="0.3">
      <c r="A179" s="202">
        <v>41452</v>
      </c>
      <c r="B179" s="203">
        <f t="shared" si="22"/>
        <v>6</v>
      </c>
      <c r="C179" s="203">
        <f t="shared" si="23"/>
        <v>1</v>
      </c>
      <c r="D179" s="201">
        <f t="shared" si="24"/>
        <v>217.34188666666665</v>
      </c>
      <c r="E179" s="201">
        <f t="shared" si="25"/>
        <v>271.86163999999997</v>
      </c>
      <c r="F179" s="201">
        <f t="shared" si="26"/>
        <v>157.56981290322582</v>
      </c>
      <c r="G179" s="201">
        <f>SUM(D$2:D179)</f>
        <v>12605.829940000007</v>
      </c>
      <c r="H179" s="201">
        <f>SUM(E$2:E179)</f>
        <v>15767.975279999981</v>
      </c>
      <c r="I179" s="201">
        <f>SUM(F$2:F179)</f>
        <v>4254.3849483870963</v>
      </c>
      <c r="J179" s="201">
        <f>Model!F$51</f>
        <v>23678.322499999998</v>
      </c>
      <c r="K179" s="201">
        <f>Model!G$51</f>
        <v>26052.648000000005</v>
      </c>
      <c r="L179" s="201">
        <f>Model!H$51</f>
        <v>27478.056499999995</v>
      </c>
      <c r="M179" s="201">
        <f>Model!I$51</f>
        <v>28903.236999999997</v>
      </c>
      <c r="N179" s="201">
        <f>Model!J$51</f>
        <v>29853.18</v>
      </c>
      <c r="O179" s="201">
        <f>Model!K$51</f>
        <v>0</v>
      </c>
      <c r="P179" s="201">
        <f>Model!L$51</f>
        <v>0</v>
      </c>
      <c r="Q179" s="201">
        <f>Model!M$51</f>
        <v>0</v>
      </c>
      <c r="R179" s="201">
        <f>Model!N$51</f>
        <v>0</v>
      </c>
      <c r="S179" s="201">
        <f>Model!R$51</f>
        <v>25000</v>
      </c>
      <c r="T179" s="204" t="str">
        <f t="shared" si="33"/>
        <v/>
      </c>
      <c r="U179" s="204" t="str">
        <f t="shared" si="29"/>
        <v/>
      </c>
      <c r="V179" s="204" t="str">
        <f t="shared" si="30"/>
        <v/>
      </c>
      <c r="W179" s="204" t="str">
        <f t="shared" si="32"/>
        <v/>
      </c>
      <c r="X179" s="204" t="str">
        <f t="shared" si="21"/>
        <v/>
      </c>
      <c r="Y179" s="204" t="str">
        <f t="shared" si="21"/>
        <v xml:space="preserve">  </v>
      </c>
      <c r="Z179" s="204" t="str">
        <f t="shared" si="21"/>
        <v xml:space="preserve">  </v>
      </c>
      <c r="AA179" s="204" t="str">
        <f t="shared" si="21"/>
        <v xml:space="preserve">  </v>
      </c>
      <c r="AB179" s="204" t="str">
        <f t="shared" si="31"/>
        <v xml:space="preserve">  </v>
      </c>
      <c r="AC179" s="204" t="str">
        <f t="shared" si="31"/>
        <v/>
      </c>
    </row>
    <row r="180" spans="1:29" x14ac:dyDescent="0.3">
      <c r="A180" s="202">
        <v>41453</v>
      </c>
      <c r="B180" s="203">
        <f t="shared" si="22"/>
        <v>6</v>
      </c>
      <c r="C180" s="203">
        <f t="shared" si="23"/>
        <v>1</v>
      </c>
      <c r="D180" s="201">
        <f t="shared" si="24"/>
        <v>217.34188666666665</v>
      </c>
      <c r="E180" s="201">
        <f t="shared" si="25"/>
        <v>271.86163999999997</v>
      </c>
      <c r="F180" s="201">
        <f t="shared" si="26"/>
        <v>157.56981290322582</v>
      </c>
      <c r="G180" s="201">
        <f>SUM(D$2:D180)</f>
        <v>12823.171826666674</v>
      </c>
      <c r="H180" s="201">
        <f>SUM(E$2:E180)</f>
        <v>16039.83691999998</v>
      </c>
      <c r="I180" s="201">
        <f>SUM(F$2:F180)</f>
        <v>4411.9547612903225</v>
      </c>
      <c r="J180" s="201">
        <f>Model!F$51</f>
        <v>23678.322499999998</v>
      </c>
      <c r="K180" s="201">
        <f>Model!G$51</f>
        <v>26052.648000000005</v>
      </c>
      <c r="L180" s="201">
        <f>Model!H$51</f>
        <v>27478.056499999995</v>
      </c>
      <c r="M180" s="201">
        <f>Model!I$51</f>
        <v>28903.236999999997</v>
      </c>
      <c r="N180" s="201">
        <f>Model!J$51</f>
        <v>29853.18</v>
      </c>
      <c r="O180" s="201">
        <f>Model!K$51</f>
        <v>0</v>
      </c>
      <c r="P180" s="201">
        <f>Model!L$51</f>
        <v>0</v>
      </c>
      <c r="Q180" s="201">
        <f>Model!M$51</f>
        <v>0</v>
      </c>
      <c r="R180" s="201">
        <f>Model!N$51</f>
        <v>0</v>
      </c>
      <c r="S180" s="201">
        <f>Model!R$51</f>
        <v>25000</v>
      </c>
      <c r="T180" s="204" t="str">
        <f t="shared" si="33"/>
        <v/>
      </c>
      <c r="U180" s="204" t="str">
        <f t="shared" si="29"/>
        <v/>
      </c>
      <c r="V180" s="204" t="str">
        <f t="shared" si="30"/>
        <v/>
      </c>
      <c r="W180" s="204" t="str">
        <f t="shared" si="32"/>
        <v/>
      </c>
      <c r="X180" s="204" t="str">
        <f t="shared" si="21"/>
        <v/>
      </c>
      <c r="Y180" s="204" t="str">
        <f t="shared" si="21"/>
        <v xml:space="preserve">  </v>
      </c>
      <c r="Z180" s="204" t="str">
        <f t="shared" si="21"/>
        <v xml:space="preserve">  </v>
      </c>
      <c r="AA180" s="204" t="str">
        <f t="shared" si="21"/>
        <v xml:space="preserve">  </v>
      </c>
      <c r="AB180" s="204" t="str">
        <f t="shared" si="31"/>
        <v xml:space="preserve">  </v>
      </c>
      <c r="AC180" s="204" t="str">
        <f t="shared" si="31"/>
        <v/>
      </c>
    </row>
    <row r="181" spans="1:29" x14ac:dyDescent="0.3">
      <c r="A181" s="202">
        <v>41454</v>
      </c>
      <c r="B181" s="203">
        <f t="shared" si="22"/>
        <v>6</v>
      </c>
      <c r="C181" s="203">
        <f t="shared" si="23"/>
        <v>1</v>
      </c>
      <c r="D181" s="201">
        <f t="shared" si="24"/>
        <v>217.34188666666665</v>
      </c>
      <c r="E181" s="201">
        <f t="shared" si="25"/>
        <v>271.86163999999997</v>
      </c>
      <c r="F181" s="201">
        <f t="shared" si="26"/>
        <v>157.56981290322582</v>
      </c>
      <c r="G181" s="201">
        <f>SUM(D$2:D181)</f>
        <v>13040.513713333341</v>
      </c>
      <c r="H181" s="201">
        <f>SUM(E$2:E181)</f>
        <v>16311.698559999979</v>
      </c>
      <c r="I181" s="201">
        <f>SUM(F$2:F181)</f>
        <v>4569.5245741935487</v>
      </c>
      <c r="J181" s="201">
        <f>Model!F$51</f>
        <v>23678.322499999998</v>
      </c>
      <c r="K181" s="201">
        <f>Model!G$51</f>
        <v>26052.648000000005</v>
      </c>
      <c r="L181" s="201">
        <f>Model!H$51</f>
        <v>27478.056499999995</v>
      </c>
      <c r="M181" s="201">
        <f>Model!I$51</f>
        <v>28903.236999999997</v>
      </c>
      <c r="N181" s="201">
        <f>Model!J$51</f>
        <v>29853.18</v>
      </c>
      <c r="O181" s="201">
        <f>Model!K$51</f>
        <v>0</v>
      </c>
      <c r="P181" s="201">
        <f>Model!L$51</f>
        <v>0</v>
      </c>
      <c r="Q181" s="201">
        <f>Model!M$51</f>
        <v>0</v>
      </c>
      <c r="R181" s="201">
        <f>Model!N$51</f>
        <v>0</v>
      </c>
      <c r="S181" s="201">
        <f>Model!R$51</f>
        <v>25000</v>
      </c>
      <c r="T181" s="204" t="str">
        <f t="shared" si="33"/>
        <v/>
      </c>
      <c r="U181" s="204" t="str">
        <f t="shared" si="29"/>
        <v/>
      </c>
      <c r="V181" s="204" t="str">
        <f t="shared" si="30"/>
        <v/>
      </c>
      <c r="W181" s="204" t="str">
        <f t="shared" si="32"/>
        <v/>
      </c>
      <c r="X181" s="204" t="str">
        <f t="shared" si="21"/>
        <v/>
      </c>
      <c r="Y181" s="204" t="str">
        <f t="shared" si="21"/>
        <v xml:space="preserve">  </v>
      </c>
      <c r="Z181" s="204" t="str">
        <f t="shared" si="21"/>
        <v xml:space="preserve">  </v>
      </c>
      <c r="AA181" s="204" t="str">
        <f t="shared" si="21"/>
        <v xml:space="preserve">  </v>
      </c>
      <c r="AB181" s="204" t="str">
        <f t="shared" si="31"/>
        <v xml:space="preserve">  </v>
      </c>
      <c r="AC181" s="204" t="str">
        <f t="shared" si="31"/>
        <v/>
      </c>
    </row>
    <row r="182" spans="1:29" x14ac:dyDescent="0.3">
      <c r="A182" s="202">
        <v>41455</v>
      </c>
      <c r="B182" s="203">
        <f t="shared" si="22"/>
        <v>6</v>
      </c>
      <c r="C182" s="203">
        <f t="shared" si="23"/>
        <v>1</v>
      </c>
      <c r="D182" s="201">
        <f t="shared" si="24"/>
        <v>217.34188666666665</v>
      </c>
      <c r="E182" s="201">
        <f t="shared" si="25"/>
        <v>271.86163999999997</v>
      </c>
      <c r="F182" s="201">
        <f t="shared" si="26"/>
        <v>157.56981290322582</v>
      </c>
      <c r="G182" s="201">
        <f>SUM(D$2:D182)</f>
        <v>13257.855600000008</v>
      </c>
      <c r="H182" s="201">
        <f>SUM(E$2:E182)</f>
        <v>16583.560199999978</v>
      </c>
      <c r="I182" s="201">
        <f>SUM(F$2:F182)</f>
        <v>4727.0943870967749</v>
      </c>
      <c r="J182" s="201">
        <f>Model!F$51</f>
        <v>23678.322499999998</v>
      </c>
      <c r="K182" s="201">
        <f>Model!G$51</f>
        <v>26052.648000000005</v>
      </c>
      <c r="L182" s="201">
        <f>Model!H$51</f>
        <v>27478.056499999995</v>
      </c>
      <c r="M182" s="201">
        <f>Model!I$51</f>
        <v>28903.236999999997</v>
      </c>
      <c r="N182" s="201">
        <f>Model!J$51</f>
        <v>29853.18</v>
      </c>
      <c r="O182" s="201">
        <f>Model!K$51</f>
        <v>0</v>
      </c>
      <c r="P182" s="201">
        <f>Model!L$51</f>
        <v>0</v>
      </c>
      <c r="Q182" s="201">
        <f>Model!M$51</f>
        <v>0</v>
      </c>
      <c r="R182" s="201">
        <f>Model!N$51</f>
        <v>0</v>
      </c>
      <c r="S182" s="201">
        <f>Model!R$51</f>
        <v>25000</v>
      </c>
      <c r="T182" s="204" t="str">
        <f t="shared" si="33"/>
        <v/>
      </c>
      <c r="U182" s="204" t="str">
        <f t="shared" si="29"/>
        <v/>
      </c>
      <c r="V182" s="204" t="str">
        <f t="shared" si="30"/>
        <v/>
      </c>
      <c r="W182" s="204" t="str">
        <f t="shared" si="32"/>
        <v/>
      </c>
      <c r="X182" s="204" t="str">
        <f t="shared" si="21"/>
        <v/>
      </c>
      <c r="Y182" s="204" t="str">
        <f t="shared" si="21"/>
        <v xml:space="preserve">  </v>
      </c>
      <c r="Z182" s="204" t="str">
        <f t="shared" si="21"/>
        <v xml:space="preserve">  </v>
      </c>
      <c r="AA182" s="204" t="str">
        <f t="shared" si="21"/>
        <v xml:space="preserve">  </v>
      </c>
      <c r="AB182" s="204" t="str">
        <f t="shared" si="31"/>
        <v xml:space="preserve">  </v>
      </c>
      <c r="AC182" s="204" t="str">
        <f t="shared" si="31"/>
        <v/>
      </c>
    </row>
    <row r="183" spans="1:29" x14ac:dyDescent="0.3">
      <c r="A183" s="202">
        <v>41456</v>
      </c>
      <c r="B183" s="203">
        <f t="shared" si="22"/>
        <v>7</v>
      </c>
      <c r="C183" s="203">
        <f t="shared" si="23"/>
        <v>1</v>
      </c>
      <c r="D183" s="201">
        <f t="shared" si="24"/>
        <v>238.75469677419355</v>
      </c>
      <c r="E183" s="201">
        <f t="shared" si="25"/>
        <v>340.90005161290321</v>
      </c>
      <c r="F183" s="201">
        <f t="shared" si="26"/>
        <v>141.16298999999998</v>
      </c>
      <c r="G183" s="201">
        <f>SUM(D$2:D183)</f>
        <v>13496.610296774201</v>
      </c>
      <c r="H183" s="201">
        <f>SUM(E$2:E183)</f>
        <v>16924.46025161288</v>
      </c>
      <c r="I183" s="201">
        <f>SUM(F$2:F183)</f>
        <v>4868.2573770967747</v>
      </c>
      <c r="J183" s="201">
        <f>Model!F$51</f>
        <v>23678.322499999998</v>
      </c>
      <c r="K183" s="201">
        <f>Model!G$51</f>
        <v>26052.648000000005</v>
      </c>
      <c r="L183" s="201">
        <f>Model!H$51</f>
        <v>27478.056499999995</v>
      </c>
      <c r="M183" s="201">
        <f>Model!I$51</f>
        <v>28903.236999999997</v>
      </c>
      <c r="N183" s="201">
        <f>Model!J$51</f>
        <v>29853.18</v>
      </c>
      <c r="O183" s="201">
        <f>Model!K$51</f>
        <v>0</v>
      </c>
      <c r="P183" s="201">
        <f>Model!L$51</f>
        <v>0</v>
      </c>
      <c r="Q183" s="201">
        <f>Model!M$51</f>
        <v>0</v>
      </c>
      <c r="R183" s="201">
        <f>Model!N$51</f>
        <v>0</v>
      </c>
      <c r="S183" s="201">
        <f>Model!R$51</f>
        <v>25000</v>
      </c>
      <c r="T183" s="204" t="str">
        <f t="shared" si="33"/>
        <v/>
      </c>
      <c r="U183" s="204" t="str">
        <f t="shared" si="29"/>
        <v/>
      </c>
      <c r="V183" s="204" t="str">
        <f t="shared" si="30"/>
        <v/>
      </c>
      <c r="W183" s="204" t="str">
        <f t="shared" si="32"/>
        <v/>
      </c>
      <c r="X183" s="204" t="str">
        <f t="shared" si="21"/>
        <v/>
      </c>
      <c r="Y183" s="204" t="str">
        <f t="shared" si="21"/>
        <v xml:space="preserve">  </v>
      </c>
      <c r="Z183" s="204" t="str">
        <f t="shared" si="21"/>
        <v xml:space="preserve">  </v>
      </c>
      <c r="AA183" s="204" t="str">
        <f t="shared" si="21"/>
        <v xml:space="preserve">  </v>
      </c>
      <c r="AB183" s="204" t="str">
        <f t="shared" si="31"/>
        <v xml:space="preserve">  </v>
      </c>
      <c r="AC183" s="204" t="str">
        <f t="shared" si="31"/>
        <v/>
      </c>
    </row>
    <row r="184" spans="1:29" x14ac:dyDescent="0.3">
      <c r="A184" s="202">
        <v>41457</v>
      </c>
      <c r="B184" s="203">
        <f t="shared" si="22"/>
        <v>7</v>
      </c>
      <c r="C184" s="203">
        <f t="shared" si="23"/>
        <v>1</v>
      </c>
      <c r="D184" s="201">
        <f t="shared" si="24"/>
        <v>238.75469677419355</v>
      </c>
      <c r="E184" s="201">
        <f t="shared" si="25"/>
        <v>340.90005161290321</v>
      </c>
      <c r="F184" s="201">
        <f t="shared" si="26"/>
        <v>141.16298999999998</v>
      </c>
      <c r="G184" s="201">
        <f>SUM(D$2:D184)</f>
        <v>13735.364993548394</v>
      </c>
      <c r="H184" s="201">
        <f>SUM(E$2:E184)</f>
        <v>17265.360303225782</v>
      </c>
      <c r="I184" s="201">
        <f>SUM(F$2:F184)</f>
        <v>5009.4203670967745</v>
      </c>
      <c r="J184" s="201">
        <f>Model!F$51</f>
        <v>23678.322499999998</v>
      </c>
      <c r="K184" s="201">
        <f>Model!G$51</f>
        <v>26052.648000000005</v>
      </c>
      <c r="L184" s="201">
        <f>Model!H$51</f>
        <v>27478.056499999995</v>
      </c>
      <c r="M184" s="201">
        <f>Model!I$51</f>
        <v>28903.236999999997</v>
      </c>
      <c r="N184" s="201">
        <f>Model!J$51</f>
        <v>29853.18</v>
      </c>
      <c r="O184" s="201">
        <f>Model!K$51</f>
        <v>0</v>
      </c>
      <c r="P184" s="201">
        <f>Model!L$51</f>
        <v>0</v>
      </c>
      <c r="Q184" s="201">
        <f>Model!M$51</f>
        <v>0</v>
      </c>
      <c r="R184" s="201">
        <f>Model!N$51</f>
        <v>0</v>
      </c>
      <c r="S184" s="201">
        <f>Model!R$51</f>
        <v>25000</v>
      </c>
      <c r="T184" s="204" t="str">
        <f t="shared" si="33"/>
        <v/>
      </c>
      <c r="U184" s="204" t="str">
        <f t="shared" si="29"/>
        <v/>
      </c>
      <c r="V184" s="204" t="str">
        <f t="shared" si="30"/>
        <v/>
      </c>
      <c r="W184" s="204" t="str">
        <f t="shared" si="32"/>
        <v/>
      </c>
      <c r="X184" s="204" t="str">
        <f t="shared" si="21"/>
        <v/>
      </c>
      <c r="Y184" s="204" t="str">
        <f t="shared" si="21"/>
        <v xml:space="preserve">  </v>
      </c>
      <c r="Z184" s="204" t="str">
        <f t="shared" si="21"/>
        <v xml:space="preserve">  </v>
      </c>
      <c r="AA184" s="204" t="str">
        <f t="shared" si="21"/>
        <v xml:space="preserve">  </v>
      </c>
      <c r="AB184" s="204" t="str">
        <f t="shared" si="31"/>
        <v xml:space="preserve">  </v>
      </c>
      <c r="AC184" s="204" t="str">
        <f t="shared" si="31"/>
        <v/>
      </c>
    </row>
    <row r="185" spans="1:29" x14ac:dyDescent="0.3">
      <c r="A185" s="202">
        <v>41458</v>
      </c>
      <c r="B185" s="203">
        <f t="shared" si="22"/>
        <v>7</v>
      </c>
      <c r="C185" s="203">
        <f t="shared" si="23"/>
        <v>1</v>
      </c>
      <c r="D185" s="201">
        <f t="shared" si="24"/>
        <v>238.75469677419355</v>
      </c>
      <c r="E185" s="201">
        <f t="shared" si="25"/>
        <v>340.90005161290321</v>
      </c>
      <c r="F185" s="201">
        <f t="shared" si="26"/>
        <v>141.16298999999998</v>
      </c>
      <c r="G185" s="201">
        <f>SUM(D$2:D185)</f>
        <v>13974.119690322586</v>
      </c>
      <c r="H185" s="201">
        <f>SUM(E$2:E185)</f>
        <v>17606.260354838683</v>
      </c>
      <c r="I185" s="201">
        <f>SUM(F$2:F185)</f>
        <v>5150.5833570967743</v>
      </c>
      <c r="J185" s="201">
        <f>Model!F$51</f>
        <v>23678.322499999998</v>
      </c>
      <c r="K185" s="201">
        <f>Model!G$51</f>
        <v>26052.648000000005</v>
      </c>
      <c r="L185" s="201">
        <f>Model!H$51</f>
        <v>27478.056499999995</v>
      </c>
      <c r="M185" s="201">
        <f>Model!I$51</f>
        <v>28903.236999999997</v>
      </c>
      <c r="N185" s="201">
        <f>Model!J$51</f>
        <v>29853.18</v>
      </c>
      <c r="O185" s="201">
        <f>Model!K$51</f>
        <v>0</v>
      </c>
      <c r="P185" s="201">
        <f>Model!L$51</f>
        <v>0</v>
      </c>
      <c r="Q185" s="201">
        <f>Model!M$51</f>
        <v>0</v>
      </c>
      <c r="R185" s="201">
        <f>Model!N$51</f>
        <v>0</v>
      </c>
      <c r="S185" s="201">
        <f>Model!R$51</f>
        <v>25000</v>
      </c>
      <c r="T185" s="204" t="str">
        <f t="shared" si="33"/>
        <v/>
      </c>
      <c r="U185" s="204" t="str">
        <f t="shared" si="29"/>
        <v/>
      </c>
      <c r="V185" s="204" t="str">
        <f t="shared" si="30"/>
        <v/>
      </c>
      <c r="W185" s="204" t="str">
        <f t="shared" si="32"/>
        <v/>
      </c>
      <c r="X185" s="204" t="str">
        <f t="shared" si="21"/>
        <v/>
      </c>
      <c r="Y185" s="204" t="str">
        <f t="shared" si="21"/>
        <v xml:space="preserve">  </v>
      </c>
      <c r="Z185" s="204" t="str">
        <f t="shared" si="21"/>
        <v xml:space="preserve">  </v>
      </c>
      <c r="AA185" s="204" t="str">
        <f t="shared" si="21"/>
        <v xml:space="preserve">  </v>
      </c>
      <c r="AB185" s="204" t="str">
        <f t="shared" si="31"/>
        <v xml:space="preserve">  </v>
      </c>
      <c r="AC185" s="204" t="str">
        <f t="shared" si="31"/>
        <v/>
      </c>
    </row>
    <row r="186" spans="1:29" x14ac:dyDescent="0.3">
      <c r="A186" s="202">
        <v>41459</v>
      </c>
      <c r="B186" s="203">
        <f t="shared" si="22"/>
        <v>7</v>
      </c>
      <c r="C186" s="203">
        <f t="shared" si="23"/>
        <v>1</v>
      </c>
      <c r="D186" s="201">
        <f t="shared" si="24"/>
        <v>238.75469677419355</v>
      </c>
      <c r="E186" s="201">
        <f t="shared" si="25"/>
        <v>340.90005161290321</v>
      </c>
      <c r="F186" s="201">
        <f t="shared" si="26"/>
        <v>141.16298999999998</v>
      </c>
      <c r="G186" s="201">
        <f>SUM(D$2:D186)</f>
        <v>14212.874387096779</v>
      </c>
      <c r="H186" s="201">
        <f>SUM(E$2:E186)</f>
        <v>17947.160406451585</v>
      </c>
      <c r="I186" s="201">
        <f>SUM(F$2:F186)</f>
        <v>5291.7463470967741</v>
      </c>
      <c r="J186" s="201">
        <f>Model!F$51</f>
        <v>23678.322499999998</v>
      </c>
      <c r="K186" s="201">
        <f>Model!G$51</f>
        <v>26052.648000000005</v>
      </c>
      <c r="L186" s="201">
        <f>Model!H$51</f>
        <v>27478.056499999995</v>
      </c>
      <c r="M186" s="201">
        <f>Model!I$51</f>
        <v>28903.236999999997</v>
      </c>
      <c r="N186" s="201">
        <f>Model!J$51</f>
        <v>29853.18</v>
      </c>
      <c r="O186" s="201">
        <f>Model!K$51</f>
        <v>0</v>
      </c>
      <c r="P186" s="201">
        <f>Model!L$51</f>
        <v>0</v>
      </c>
      <c r="Q186" s="201">
        <f>Model!M$51</f>
        <v>0</v>
      </c>
      <c r="R186" s="201">
        <f>Model!N$51</f>
        <v>0</v>
      </c>
      <c r="S186" s="201">
        <f>Model!R$51</f>
        <v>25000</v>
      </c>
      <c r="T186" s="204" t="str">
        <f t="shared" si="33"/>
        <v/>
      </c>
      <c r="U186" s="204" t="str">
        <f t="shared" si="29"/>
        <v/>
      </c>
      <c r="V186" s="204" t="str">
        <f t="shared" si="30"/>
        <v/>
      </c>
      <c r="W186" s="204" t="str">
        <f t="shared" si="32"/>
        <v/>
      </c>
      <c r="X186" s="204" t="str">
        <f t="shared" si="21"/>
        <v/>
      </c>
      <c r="Y186" s="204" t="str">
        <f t="shared" si="21"/>
        <v xml:space="preserve">  </v>
      </c>
      <c r="Z186" s="204" t="str">
        <f t="shared" si="21"/>
        <v xml:space="preserve">  </v>
      </c>
      <c r="AA186" s="204" t="str">
        <f t="shared" si="21"/>
        <v xml:space="preserve">  </v>
      </c>
      <c r="AB186" s="204" t="str">
        <f t="shared" si="31"/>
        <v xml:space="preserve">  </v>
      </c>
      <c r="AC186" s="204" t="str">
        <f t="shared" si="31"/>
        <v/>
      </c>
    </row>
    <row r="187" spans="1:29" x14ac:dyDescent="0.3">
      <c r="A187" s="202">
        <v>41460</v>
      </c>
      <c r="B187" s="203">
        <f t="shared" si="22"/>
        <v>7</v>
      </c>
      <c r="C187" s="203">
        <f t="shared" si="23"/>
        <v>1</v>
      </c>
      <c r="D187" s="201">
        <f t="shared" si="24"/>
        <v>238.75469677419355</v>
      </c>
      <c r="E187" s="201">
        <f t="shared" si="25"/>
        <v>340.90005161290321</v>
      </c>
      <c r="F187" s="201">
        <f t="shared" si="26"/>
        <v>141.16298999999998</v>
      </c>
      <c r="G187" s="201">
        <f>SUM(D$2:D187)</f>
        <v>14451.629083870972</v>
      </c>
      <c r="H187" s="201">
        <f>SUM(E$2:E187)</f>
        <v>18288.060458064487</v>
      </c>
      <c r="I187" s="201">
        <f>SUM(F$2:F187)</f>
        <v>5432.9093370967739</v>
      </c>
      <c r="J187" s="201">
        <f>Model!F$51</f>
        <v>23678.322499999998</v>
      </c>
      <c r="K187" s="201">
        <f>Model!G$51</f>
        <v>26052.648000000005</v>
      </c>
      <c r="L187" s="201">
        <f>Model!H$51</f>
        <v>27478.056499999995</v>
      </c>
      <c r="M187" s="201">
        <f>Model!I$51</f>
        <v>28903.236999999997</v>
      </c>
      <c r="N187" s="201">
        <f>Model!J$51</f>
        <v>29853.18</v>
      </c>
      <c r="O187" s="201">
        <f>Model!K$51</f>
        <v>0</v>
      </c>
      <c r="P187" s="201">
        <f>Model!L$51</f>
        <v>0</v>
      </c>
      <c r="Q187" s="201">
        <f>Model!M$51</f>
        <v>0</v>
      </c>
      <c r="R187" s="201">
        <f>Model!N$51</f>
        <v>0</v>
      </c>
      <c r="S187" s="201">
        <f>Model!R$51</f>
        <v>25000</v>
      </c>
      <c r="T187" s="204" t="str">
        <f t="shared" si="33"/>
        <v/>
      </c>
      <c r="U187" s="204" t="str">
        <f t="shared" si="29"/>
        <v/>
      </c>
      <c r="V187" s="204" t="str">
        <f t="shared" si="30"/>
        <v/>
      </c>
      <c r="W187" s="204" t="str">
        <f t="shared" si="32"/>
        <v/>
      </c>
      <c r="X187" s="204" t="str">
        <f t="shared" si="21"/>
        <v/>
      </c>
      <c r="Y187" s="204" t="str">
        <f t="shared" si="21"/>
        <v xml:space="preserve">  </v>
      </c>
      <c r="Z187" s="204" t="str">
        <f t="shared" si="21"/>
        <v xml:space="preserve">  </v>
      </c>
      <c r="AA187" s="204" t="str">
        <f t="shared" si="21"/>
        <v xml:space="preserve">  </v>
      </c>
      <c r="AB187" s="204" t="str">
        <f t="shared" si="31"/>
        <v xml:space="preserve">  </v>
      </c>
      <c r="AC187" s="204" t="str">
        <f t="shared" si="31"/>
        <v/>
      </c>
    </row>
    <row r="188" spans="1:29" x14ac:dyDescent="0.3">
      <c r="A188" s="202">
        <v>41461</v>
      </c>
      <c r="B188" s="203">
        <f t="shared" si="22"/>
        <v>7</v>
      </c>
      <c r="C188" s="203">
        <f t="shared" si="23"/>
        <v>1</v>
      </c>
      <c r="D188" s="201">
        <f t="shared" si="24"/>
        <v>238.75469677419355</v>
      </c>
      <c r="E188" s="201">
        <f t="shared" si="25"/>
        <v>340.90005161290321</v>
      </c>
      <c r="F188" s="201">
        <f t="shared" si="26"/>
        <v>141.16298999999998</v>
      </c>
      <c r="G188" s="201">
        <f>SUM(D$2:D188)</f>
        <v>14690.383780645165</v>
      </c>
      <c r="H188" s="201">
        <f>SUM(E$2:E188)</f>
        <v>18628.960509677388</v>
      </c>
      <c r="I188" s="201">
        <f>SUM(F$2:F188)</f>
        <v>5574.0723270967737</v>
      </c>
      <c r="J188" s="201">
        <f>Model!F$51</f>
        <v>23678.322499999998</v>
      </c>
      <c r="K188" s="201">
        <f>Model!G$51</f>
        <v>26052.648000000005</v>
      </c>
      <c r="L188" s="201">
        <f>Model!H$51</f>
        <v>27478.056499999995</v>
      </c>
      <c r="M188" s="201">
        <f>Model!I$51</f>
        <v>28903.236999999997</v>
      </c>
      <c r="N188" s="201">
        <f>Model!J$51</f>
        <v>29853.18</v>
      </c>
      <c r="O188" s="201">
        <f>Model!K$51</f>
        <v>0</v>
      </c>
      <c r="P188" s="201">
        <f>Model!L$51</f>
        <v>0</v>
      </c>
      <c r="Q188" s="201">
        <f>Model!M$51</f>
        <v>0</v>
      </c>
      <c r="R188" s="201">
        <f>Model!N$51</f>
        <v>0</v>
      </c>
      <c r="S188" s="201">
        <f>Model!R$51</f>
        <v>25000</v>
      </c>
      <c r="T188" s="204" t="str">
        <f t="shared" si="33"/>
        <v/>
      </c>
      <c r="U188" s="204" t="str">
        <f t="shared" si="29"/>
        <v/>
      </c>
      <c r="V188" s="204" t="str">
        <f t="shared" si="30"/>
        <v/>
      </c>
      <c r="W188" s="204" t="str">
        <f t="shared" si="32"/>
        <v/>
      </c>
      <c r="X188" s="204" t="str">
        <f t="shared" si="21"/>
        <v/>
      </c>
      <c r="Y188" s="204" t="str">
        <f t="shared" si="21"/>
        <v xml:space="preserve">  </v>
      </c>
      <c r="Z188" s="204" t="str">
        <f t="shared" si="21"/>
        <v xml:space="preserve">  </v>
      </c>
      <c r="AA188" s="204" t="str">
        <f t="shared" si="21"/>
        <v xml:space="preserve">  </v>
      </c>
      <c r="AB188" s="204" t="str">
        <f t="shared" si="31"/>
        <v xml:space="preserve">  </v>
      </c>
      <c r="AC188" s="204" t="str">
        <f t="shared" si="31"/>
        <v/>
      </c>
    </row>
    <row r="189" spans="1:29" x14ac:dyDescent="0.3">
      <c r="A189" s="202">
        <v>41462</v>
      </c>
      <c r="B189" s="203">
        <f t="shared" si="22"/>
        <v>7</v>
      </c>
      <c r="C189" s="203">
        <f t="shared" si="23"/>
        <v>1</v>
      </c>
      <c r="D189" s="201">
        <f t="shared" si="24"/>
        <v>238.75469677419355</v>
      </c>
      <c r="E189" s="201">
        <f t="shared" si="25"/>
        <v>340.90005161290321</v>
      </c>
      <c r="F189" s="201">
        <f t="shared" si="26"/>
        <v>141.16298999999998</v>
      </c>
      <c r="G189" s="201">
        <f>SUM(D$2:D189)</f>
        <v>14929.138477419358</v>
      </c>
      <c r="H189" s="201">
        <f>SUM(E$2:E189)</f>
        <v>18969.86056129029</v>
      </c>
      <c r="I189" s="201">
        <f>SUM(F$2:F189)</f>
        <v>5715.2353170967735</v>
      </c>
      <c r="J189" s="201">
        <f>Model!F$51</f>
        <v>23678.322499999998</v>
      </c>
      <c r="K189" s="201">
        <f>Model!G$51</f>
        <v>26052.648000000005</v>
      </c>
      <c r="L189" s="201">
        <f>Model!H$51</f>
        <v>27478.056499999995</v>
      </c>
      <c r="M189" s="201">
        <f>Model!I$51</f>
        <v>28903.236999999997</v>
      </c>
      <c r="N189" s="201">
        <f>Model!J$51</f>
        <v>29853.18</v>
      </c>
      <c r="O189" s="201">
        <f>Model!K$51</f>
        <v>0</v>
      </c>
      <c r="P189" s="201">
        <f>Model!L$51</f>
        <v>0</v>
      </c>
      <c r="Q189" s="201">
        <f>Model!M$51</f>
        <v>0</v>
      </c>
      <c r="R189" s="201">
        <f>Model!N$51</f>
        <v>0</v>
      </c>
      <c r="S189" s="201">
        <f>Model!R$51</f>
        <v>25000</v>
      </c>
      <c r="T189" s="204" t="str">
        <f t="shared" si="33"/>
        <v/>
      </c>
      <c r="U189" s="204" t="str">
        <f t="shared" si="29"/>
        <v/>
      </c>
      <c r="V189" s="204" t="str">
        <f t="shared" si="30"/>
        <v/>
      </c>
      <c r="W189" s="204" t="str">
        <f t="shared" si="32"/>
        <v/>
      </c>
      <c r="X189" s="204" t="str">
        <f t="shared" si="21"/>
        <v/>
      </c>
      <c r="Y189" s="204" t="str">
        <f t="shared" si="21"/>
        <v xml:space="preserve">  </v>
      </c>
      <c r="Z189" s="204" t="str">
        <f t="shared" si="21"/>
        <v xml:space="preserve">  </v>
      </c>
      <c r="AA189" s="204" t="str">
        <f t="shared" ref="AA189:AC252" si="34">IF(ISNUMBER(AA188),"  ",IF(AA188="  ","  ",IF($G189&gt;Q189,$A189,"")))</f>
        <v xml:space="preserve">  </v>
      </c>
      <c r="AB189" s="204" t="str">
        <f t="shared" si="31"/>
        <v xml:space="preserve">  </v>
      </c>
      <c r="AC189" s="204" t="str">
        <f t="shared" si="31"/>
        <v/>
      </c>
    </row>
    <row r="190" spans="1:29" x14ac:dyDescent="0.3">
      <c r="A190" s="202">
        <v>41463</v>
      </c>
      <c r="B190" s="203">
        <f t="shared" si="22"/>
        <v>7</v>
      </c>
      <c r="C190" s="203">
        <f t="shared" si="23"/>
        <v>1</v>
      </c>
      <c r="D190" s="201">
        <f t="shared" si="24"/>
        <v>238.75469677419355</v>
      </c>
      <c r="E190" s="201">
        <f t="shared" si="25"/>
        <v>340.90005161290321</v>
      </c>
      <c r="F190" s="201">
        <f t="shared" si="26"/>
        <v>141.16298999999998</v>
      </c>
      <c r="G190" s="201">
        <f>SUM(D$2:D190)</f>
        <v>15167.89317419355</v>
      </c>
      <c r="H190" s="201">
        <f>SUM(E$2:E190)</f>
        <v>19310.760612903192</v>
      </c>
      <c r="I190" s="201">
        <f>SUM(F$2:F190)</f>
        <v>5856.3983070967734</v>
      </c>
      <c r="J190" s="201">
        <f>Model!F$51</f>
        <v>23678.322499999998</v>
      </c>
      <c r="K190" s="201">
        <f>Model!G$51</f>
        <v>26052.648000000005</v>
      </c>
      <c r="L190" s="201">
        <f>Model!H$51</f>
        <v>27478.056499999995</v>
      </c>
      <c r="M190" s="201">
        <f>Model!I$51</f>
        <v>28903.236999999997</v>
      </c>
      <c r="N190" s="201">
        <f>Model!J$51</f>
        <v>29853.18</v>
      </c>
      <c r="O190" s="201">
        <f>Model!K$51</f>
        <v>0</v>
      </c>
      <c r="P190" s="201">
        <f>Model!L$51</f>
        <v>0</v>
      </c>
      <c r="Q190" s="201">
        <f>Model!M$51</f>
        <v>0</v>
      </c>
      <c r="R190" s="201">
        <f>Model!N$51</f>
        <v>0</v>
      </c>
      <c r="S190" s="201">
        <f>Model!R$51</f>
        <v>25000</v>
      </c>
      <c r="T190" s="204" t="str">
        <f t="shared" si="33"/>
        <v/>
      </c>
      <c r="U190" s="204" t="str">
        <f t="shared" si="29"/>
        <v/>
      </c>
      <c r="V190" s="204" t="str">
        <f t="shared" si="30"/>
        <v/>
      </c>
      <c r="W190" s="204" t="str">
        <f t="shared" si="32"/>
        <v/>
      </c>
      <c r="X190" s="204" t="str">
        <f t="shared" ref="X190:Z194" si="35">IF(ISNUMBER(X189),"  ",IF(X189="  ","  ",IF($G190&gt;N190,$A190,"")))</f>
        <v/>
      </c>
      <c r="Y190" s="204" t="str">
        <f t="shared" si="35"/>
        <v xml:space="preserve">  </v>
      </c>
      <c r="Z190" s="204" t="str">
        <f t="shared" si="35"/>
        <v xml:space="preserve">  </v>
      </c>
      <c r="AA190" s="204" t="str">
        <f t="shared" si="34"/>
        <v xml:space="preserve">  </v>
      </c>
      <c r="AB190" s="204" t="str">
        <f t="shared" si="31"/>
        <v xml:space="preserve">  </v>
      </c>
      <c r="AC190" s="204" t="str">
        <f t="shared" si="31"/>
        <v/>
      </c>
    </row>
    <row r="191" spans="1:29" x14ac:dyDescent="0.3">
      <c r="A191" s="202">
        <v>41464</v>
      </c>
      <c r="B191" s="203">
        <f t="shared" si="22"/>
        <v>7</v>
      </c>
      <c r="C191" s="203">
        <f t="shared" si="23"/>
        <v>1</v>
      </c>
      <c r="D191" s="201">
        <f t="shared" si="24"/>
        <v>238.75469677419355</v>
      </c>
      <c r="E191" s="201">
        <f t="shared" si="25"/>
        <v>340.90005161290321</v>
      </c>
      <c r="F191" s="201">
        <f t="shared" si="26"/>
        <v>141.16298999999998</v>
      </c>
      <c r="G191" s="201">
        <f>SUM(D$2:D191)</f>
        <v>15406.647870967743</v>
      </c>
      <c r="H191" s="201">
        <f>SUM(E$2:E191)</f>
        <v>19651.660664516094</v>
      </c>
      <c r="I191" s="201">
        <f>SUM(F$2:F191)</f>
        <v>5997.5612970967732</v>
      </c>
      <c r="J191" s="201">
        <f>Model!F$51</f>
        <v>23678.322499999998</v>
      </c>
      <c r="K191" s="201">
        <f>Model!G$51</f>
        <v>26052.648000000005</v>
      </c>
      <c r="L191" s="201">
        <f>Model!H$51</f>
        <v>27478.056499999995</v>
      </c>
      <c r="M191" s="201">
        <f>Model!I$51</f>
        <v>28903.236999999997</v>
      </c>
      <c r="N191" s="201">
        <f>Model!J$51</f>
        <v>29853.18</v>
      </c>
      <c r="O191" s="201">
        <f>Model!K$51</f>
        <v>0</v>
      </c>
      <c r="P191" s="201">
        <f>Model!L$51</f>
        <v>0</v>
      </c>
      <c r="Q191" s="201">
        <f>Model!M$51</f>
        <v>0</v>
      </c>
      <c r="R191" s="201">
        <f>Model!N$51</f>
        <v>0</v>
      </c>
      <c r="S191" s="201">
        <f>Model!R$51</f>
        <v>25000</v>
      </c>
      <c r="T191" s="204" t="str">
        <f t="shared" si="33"/>
        <v/>
      </c>
      <c r="U191" s="204" t="str">
        <f t="shared" si="29"/>
        <v/>
      </c>
      <c r="V191" s="204" t="str">
        <f t="shared" si="30"/>
        <v/>
      </c>
      <c r="W191" s="204" t="str">
        <f t="shared" si="32"/>
        <v/>
      </c>
      <c r="X191" s="204" t="str">
        <f t="shared" si="35"/>
        <v/>
      </c>
      <c r="Y191" s="204" t="str">
        <f t="shared" si="35"/>
        <v xml:space="preserve">  </v>
      </c>
      <c r="Z191" s="204" t="str">
        <f t="shared" si="35"/>
        <v xml:space="preserve">  </v>
      </c>
      <c r="AA191" s="204" t="str">
        <f t="shared" si="34"/>
        <v xml:space="preserve">  </v>
      </c>
      <c r="AB191" s="204" t="str">
        <f t="shared" si="31"/>
        <v xml:space="preserve">  </v>
      </c>
      <c r="AC191" s="204" t="str">
        <f t="shared" si="31"/>
        <v/>
      </c>
    </row>
    <row r="192" spans="1:29" x14ac:dyDescent="0.3">
      <c r="A192" s="202">
        <v>41465</v>
      </c>
      <c r="B192" s="203">
        <f t="shared" si="22"/>
        <v>7</v>
      </c>
      <c r="C192" s="203">
        <f t="shared" si="23"/>
        <v>1</v>
      </c>
      <c r="D192" s="201">
        <f t="shared" si="24"/>
        <v>238.75469677419355</v>
      </c>
      <c r="E192" s="201">
        <f t="shared" si="25"/>
        <v>340.90005161290321</v>
      </c>
      <c r="F192" s="201">
        <f t="shared" si="26"/>
        <v>141.16298999999998</v>
      </c>
      <c r="G192" s="201">
        <f>SUM(D$2:D192)</f>
        <v>15645.402567741936</v>
      </c>
      <c r="H192" s="201">
        <f>SUM(E$2:E192)</f>
        <v>19992.560716128995</v>
      </c>
      <c r="I192" s="201">
        <f>SUM(F$2:F192)</f>
        <v>6138.724287096773</v>
      </c>
      <c r="J192" s="201">
        <f>Model!F$51</f>
        <v>23678.322499999998</v>
      </c>
      <c r="K192" s="201">
        <f>Model!G$51</f>
        <v>26052.648000000005</v>
      </c>
      <c r="L192" s="201">
        <f>Model!H$51</f>
        <v>27478.056499999995</v>
      </c>
      <c r="M192" s="201">
        <f>Model!I$51</f>
        <v>28903.236999999997</v>
      </c>
      <c r="N192" s="201">
        <f>Model!J$51</f>
        <v>29853.18</v>
      </c>
      <c r="O192" s="201">
        <f>Model!K$51</f>
        <v>0</v>
      </c>
      <c r="P192" s="201">
        <f>Model!L$51</f>
        <v>0</v>
      </c>
      <c r="Q192" s="201">
        <f>Model!M$51</f>
        <v>0</v>
      </c>
      <c r="R192" s="201">
        <f>Model!N$51</f>
        <v>0</v>
      </c>
      <c r="S192" s="201">
        <f>Model!R$51</f>
        <v>25000</v>
      </c>
      <c r="T192" s="204" t="str">
        <f t="shared" si="33"/>
        <v/>
      </c>
      <c r="U192" s="204" t="str">
        <f t="shared" si="29"/>
        <v/>
      </c>
      <c r="V192" s="204" t="str">
        <f t="shared" si="30"/>
        <v/>
      </c>
      <c r="W192" s="204" t="str">
        <f t="shared" si="32"/>
        <v/>
      </c>
      <c r="X192" s="204" t="str">
        <f t="shared" si="35"/>
        <v/>
      </c>
      <c r="Y192" s="204" t="str">
        <f t="shared" si="35"/>
        <v xml:space="preserve">  </v>
      </c>
      <c r="Z192" s="204" t="str">
        <f t="shared" si="35"/>
        <v xml:space="preserve">  </v>
      </c>
      <c r="AA192" s="204" t="str">
        <f t="shared" si="34"/>
        <v xml:space="preserve">  </v>
      </c>
      <c r="AB192" s="204" t="str">
        <f t="shared" si="31"/>
        <v xml:space="preserve">  </v>
      </c>
      <c r="AC192" s="204" t="str">
        <f t="shared" si="31"/>
        <v/>
      </c>
    </row>
    <row r="193" spans="1:29" x14ac:dyDescent="0.3">
      <c r="A193" s="202">
        <v>41466</v>
      </c>
      <c r="B193" s="203">
        <f t="shared" si="22"/>
        <v>7</v>
      </c>
      <c r="C193" s="203">
        <f t="shared" si="23"/>
        <v>1</v>
      </c>
      <c r="D193" s="201">
        <f t="shared" si="24"/>
        <v>238.75469677419355</v>
      </c>
      <c r="E193" s="201">
        <f t="shared" si="25"/>
        <v>340.90005161290321</v>
      </c>
      <c r="F193" s="201">
        <f t="shared" si="26"/>
        <v>141.16298999999998</v>
      </c>
      <c r="G193" s="201">
        <f>SUM(D$2:D193)</f>
        <v>15884.157264516129</v>
      </c>
      <c r="H193" s="201">
        <f>SUM(E$2:E193)</f>
        <v>20333.460767741897</v>
      </c>
      <c r="I193" s="201">
        <f>SUM(F$2:F193)</f>
        <v>6279.8872770967728</v>
      </c>
      <c r="J193" s="201">
        <f>Model!F$51</f>
        <v>23678.322499999998</v>
      </c>
      <c r="K193" s="201">
        <f>Model!G$51</f>
        <v>26052.648000000005</v>
      </c>
      <c r="L193" s="201">
        <f>Model!H$51</f>
        <v>27478.056499999995</v>
      </c>
      <c r="M193" s="201">
        <f>Model!I$51</f>
        <v>28903.236999999997</v>
      </c>
      <c r="N193" s="201">
        <f>Model!J$51</f>
        <v>29853.18</v>
      </c>
      <c r="O193" s="201">
        <f>Model!K$51</f>
        <v>0</v>
      </c>
      <c r="P193" s="201">
        <f>Model!L$51</f>
        <v>0</v>
      </c>
      <c r="Q193" s="201">
        <f>Model!M$51</f>
        <v>0</v>
      </c>
      <c r="R193" s="201">
        <f>Model!N$51</f>
        <v>0</v>
      </c>
      <c r="S193" s="201">
        <f>Model!R$51</f>
        <v>25000</v>
      </c>
      <c r="T193" s="204" t="str">
        <f t="shared" si="33"/>
        <v/>
      </c>
      <c r="U193" s="204" t="str">
        <f t="shared" si="29"/>
        <v/>
      </c>
      <c r="V193" s="204" t="str">
        <f t="shared" si="30"/>
        <v/>
      </c>
      <c r="W193" s="204" t="str">
        <f t="shared" si="32"/>
        <v/>
      </c>
      <c r="X193" s="204" t="str">
        <f t="shared" si="35"/>
        <v/>
      </c>
      <c r="Y193" s="204" t="str">
        <f t="shared" si="35"/>
        <v xml:space="preserve">  </v>
      </c>
      <c r="Z193" s="204" t="str">
        <f t="shared" si="35"/>
        <v xml:space="preserve">  </v>
      </c>
      <c r="AA193" s="204" t="str">
        <f t="shared" si="34"/>
        <v xml:space="preserve">  </v>
      </c>
      <c r="AB193" s="204" t="str">
        <f t="shared" si="31"/>
        <v xml:space="preserve">  </v>
      </c>
      <c r="AC193" s="204" t="str">
        <f t="shared" si="31"/>
        <v/>
      </c>
    </row>
    <row r="194" spans="1:29" x14ac:dyDescent="0.3">
      <c r="A194" s="202">
        <v>41467</v>
      </c>
      <c r="B194" s="203">
        <f t="shared" ref="B194:B257" si="36">MONTH(A194)</f>
        <v>7</v>
      </c>
      <c r="C194" s="203">
        <f t="shared" ref="C194:C257" si="37">IF(VLOOKUP($B194,$AE$2:$AF$15,2,FALSE)=0,1,IF(VLOOKUP($B194,$AE$2:$AF$15,2,FALSE)=VLOOKUP($B194,$AE$2:$AG$15,3,FALSE),0,IF(AND((VLOOKUP(($B194-1),$AE$2:$AF$15,2,FALSE)&gt;=1),VLOOKUP($B194,$AE$2:$AF$15,2,FALSE)&gt;=DAY(A194)),0,IF(AND((VLOOKUP(($B194+1),$AE$2:$AF$15,2,FALSE)&gt;=1),DAY(A194)&gt;(VLOOKUP($B194,$AE$2:$AG$15,3,FALSE)-VLOOKUP($B194,$AE$2:$AF$15,2,FALSE))),0,1))))</f>
        <v>1</v>
      </c>
      <c r="D194" s="201">
        <f t="shared" ref="D194:D257" si="38">IF(C194=0,0,VLOOKUP(B194,$AE$3:$AH$14,4,FALSE))</f>
        <v>238.75469677419355</v>
      </c>
      <c r="E194" s="201">
        <f t="shared" ref="E194:E257" si="39">IF(C194=0,0,VLOOKUP(B194,$AE$3:$AJ$14,5,FALSE))</f>
        <v>340.90005161290321</v>
      </c>
      <c r="F194" s="201">
        <f t="shared" ref="F194:F257" si="40">IF(C194=0,0,VLOOKUP(B194,$AE$3:$AJ$14,6,FALSE))</f>
        <v>141.16298999999998</v>
      </c>
      <c r="G194" s="201">
        <f>SUM(D$2:D194)</f>
        <v>16122.911961290321</v>
      </c>
      <c r="H194" s="201">
        <f>SUM(E$2:E194)</f>
        <v>20674.360819354799</v>
      </c>
      <c r="I194" s="201">
        <f>SUM(F$2:F194)</f>
        <v>6421.0502670967726</v>
      </c>
      <c r="J194" s="201">
        <f>Model!F$51</f>
        <v>23678.322499999998</v>
      </c>
      <c r="K194" s="201">
        <f>Model!G$51</f>
        <v>26052.648000000005</v>
      </c>
      <c r="L194" s="201">
        <f>Model!H$51</f>
        <v>27478.056499999995</v>
      </c>
      <c r="M194" s="201">
        <f>Model!I$51</f>
        <v>28903.236999999997</v>
      </c>
      <c r="N194" s="201">
        <f>Model!J$51</f>
        <v>29853.18</v>
      </c>
      <c r="O194" s="201">
        <f>Model!K$51</f>
        <v>0</v>
      </c>
      <c r="P194" s="201">
        <f>Model!L$51</f>
        <v>0</v>
      </c>
      <c r="Q194" s="201">
        <f>Model!M$51</f>
        <v>0</v>
      </c>
      <c r="R194" s="201">
        <f>Model!N$51</f>
        <v>0</v>
      </c>
      <c r="S194" s="201">
        <f>Model!R$51</f>
        <v>25000</v>
      </c>
      <c r="T194" s="204" t="str">
        <f t="shared" si="33"/>
        <v/>
      </c>
      <c r="U194" s="204" t="str">
        <f t="shared" si="29"/>
        <v/>
      </c>
      <c r="V194" s="204" t="str">
        <f t="shared" si="30"/>
        <v/>
      </c>
      <c r="W194" s="204" t="str">
        <f t="shared" si="32"/>
        <v/>
      </c>
      <c r="X194" s="204" t="str">
        <f t="shared" si="35"/>
        <v/>
      </c>
      <c r="Y194" s="204" t="str">
        <f t="shared" si="35"/>
        <v xml:space="preserve">  </v>
      </c>
      <c r="Z194" s="204" t="str">
        <f t="shared" si="35"/>
        <v xml:space="preserve">  </v>
      </c>
      <c r="AA194" s="204" t="str">
        <f t="shared" si="34"/>
        <v xml:space="preserve">  </v>
      </c>
      <c r="AB194" s="204" t="str">
        <f t="shared" si="31"/>
        <v xml:space="preserve">  </v>
      </c>
      <c r="AC194" s="204" t="str">
        <f t="shared" si="31"/>
        <v/>
      </c>
    </row>
    <row r="195" spans="1:29" x14ac:dyDescent="0.3">
      <c r="A195" s="202">
        <v>41468</v>
      </c>
      <c r="B195" s="203">
        <f t="shared" si="36"/>
        <v>7</v>
      </c>
      <c r="C195" s="203">
        <f t="shared" si="37"/>
        <v>1</v>
      </c>
      <c r="D195" s="201">
        <f t="shared" si="38"/>
        <v>238.75469677419355</v>
      </c>
      <c r="E195" s="201">
        <f t="shared" si="39"/>
        <v>340.90005161290321</v>
      </c>
      <c r="F195" s="201">
        <f t="shared" si="40"/>
        <v>141.16298999999998</v>
      </c>
      <c r="G195" s="201">
        <f>SUM(D$2:D195)</f>
        <v>16361.666658064514</v>
      </c>
      <c r="H195" s="201">
        <f>SUM(E$2:E195)</f>
        <v>21015.260870967701</v>
      </c>
      <c r="I195" s="201">
        <f>SUM(F$2:F195)</f>
        <v>6562.2132570967724</v>
      </c>
      <c r="J195" s="201">
        <f>Model!F$51</f>
        <v>23678.322499999998</v>
      </c>
      <c r="K195" s="201">
        <f>Model!G$51</f>
        <v>26052.648000000005</v>
      </c>
      <c r="L195" s="201">
        <f>Model!H$51</f>
        <v>27478.056499999995</v>
      </c>
      <c r="M195" s="201">
        <f>Model!I$51</f>
        <v>28903.236999999997</v>
      </c>
      <c r="N195" s="201">
        <f>Model!J$51</f>
        <v>29853.18</v>
      </c>
      <c r="O195" s="201">
        <f>Model!K$51</f>
        <v>0</v>
      </c>
      <c r="P195" s="201">
        <f>Model!L$51</f>
        <v>0</v>
      </c>
      <c r="Q195" s="201">
        <f>Model!M$51</f>
        <v>0</v>
      </c>
      <c r="R195" s="201">
        <f>Model!N$51</f>
        <v>0</v>
      </c>
      <c r="S195" s="201">
        <f>Model!R$51</f>
        <v>25000</v>
      </c>
      <c r="T195" s="204" t="str">
        <f t="shared" ref="T195:W258" si="41">IF(ISNUMBER(T194),"  ",IF(T194="  ","  ",IF($G195&gt;J195,$A195,"")))</f>
        <v/>
      </c>
      <c r="U195" s="204" t="str">
        <f t="shared" ref="U195:U258" si="42">IF(ISNUMBER(U194),"  ",IF(U194="  ","  ",IF($G195&gt;L195,$A195,"")))</f>
        <v/>
      </c>
      <c r="V195" s="204" t="str">
        <f t="shared" ref="V195:V258" si="43">IF(ISNUMBER(V194),"  ",IF(V194="  ","  ",IF($G195&gt;N195,$A195,"")))</f>
        <v/>
      </c>
      <c r="W195" s="204" t="str">
        <f t="shared" si="41"/>
        <v/>
      </c>
      <c r="X195" s="204" t="str">
        <f t="shared" ref="X195:AC258" si="44">IF(ISNUMBER(X194),"  ",IF(X194="  ","  ",IF($G195&gt;N195,$A195,"")))</f>
        <v/>
      </c>
      <c r="Y195" s="204" t="str">
        <f t="shared" si="44"/>
        <v xml:space="preserve">  </v>
      </c>
      <c r="Z195" s="204" t="str">
        <f t="shared" si="44"/>
        <v xml:space="preserve">  </v>
      </c>
      <c r="AA195" s="204" t="str">
        <f t="shared" si="34"/>
        <v xml:space="preserve">  </v>
      </c>
      <c r="AB195" s="204" t="str">
        <f t="shared" si="31"/>
        <v xml:space="preserve">  </v>
      </c>
      <c r="AC195" s="204" t="str">
        <f t="shared" si="31"/>
        <v/>
      </c>
    </row>
    <row r="196" spans="1:29" x14ac:dyDescent="0.3">
      <c r="A196" s="202">
        <v>41469</v>
      </c>
      <c r="B196" s="203">
        <f t="shared" si="36"/>
        <v>7</v>
      </c>
      <c r="C196" s="203">
        <f t="shared" si="37"/>
        <v>1</v>
      </c>
      <c r="D196" s="201">
        <f t="shared" si="38"/>
        <v>238.75469677419355</v>
      </c>
      <c r="E196" s="201">
        <f t="shared" si="39"/>
        <v>340.90005161290321</v>
      </c>
      <c r="F196" s="201">
        <f t="shared" si="40"/>
        <v>141.16298999999998</v>
      </c>
      <c r="G196" s="201">
        <f>SUM(D$2:D196)</f>
        <v>16600.421354838709</v>
      </c>
      <c r="H196" s="201">
        <f>SUM(E$2:E196)</f>
        <v>21356.160922580602</v>
      </c>
      <c r="I196" s="201">
        <f>SUM(F$2:F196)</f>
        <v>6703.3762470967722</v>
      </c>
      <c r="J196" s="201">
        <f>Model!F$51</f>
        <v>23678.322499999998</v>
      </c>
      <c r="K196" s="201">
        <f>Model!G$51</f>
        <v>26052.648000000005</v>
      </c>
      <c r="L196" s="201">
        <f>Model!H$51</f>
        <v>27478.056499999995</v>
      </c>
      <c r="M196" s="201">
        <f>Model!I$51</f>
        <v>28903.236999999997</v>
      </c>
      <c r="N196" s="201">
        <f>Model!J$51</f>
        <v>29853.18</v>
      </c>
      <c r="O196" s="201">
        <f>Model!K$51</f>
        <v>0</v>
      </c>
      <c r="P196" s="201">
        <f>Model!L$51</f>
        <v>0</v>
      </c>
      <c r="Q196" s="201">
        <f>Model!M$51</f>
        <v>0</v>
      </c>
      <c r="R196" s="201">
        <f>Model!N$51</f>
        <v>0</v>
      </c>
      <c r="S196" s="201">
        <f>Model!R$51</f>
        <v>25000</v>
      </c>
      <c r="T196" s="204" t="str">
        <f t="shared" si="41"/>
        <v/>
      </c>
      <c r="U196" s="204" t="str">
        <f t="shared" si="42"/>
        <v/>
      </c>
      <c r="V196" s="204" t="str">
        <f t="shared" si="43"/>
        <v/>
      </c>
      <c r="W196" s="204" t="str">
        <f t="shared" si="41"/>
        <v/>
      </c>
      <c r="X196" s="204" t="str">
        <f t="shared" si="44"/>
        <v/>
      </c>
      <c r="Y196" s="204" t="str">
        <f t="shared" si="44"/>
        <v xml:space="preserve">  </v>
      </c>
      <c r="Z196" s="204" t="str">
        <f t="shared" si="44"/>
        <v xml:space="preserve">  </v>
      </c>
      <c r="AA196" s="204" t="str">
        <f t="shared" si="34"/>
        <v xml:space="preserve">  </v>
      </c>
      <c r="AB196" s="204" t="str">
        <f t="shared" si="31"/>
        <v xml:space="preserve">  </v>
      </c>
      <c r="AC196" s="204" t="str">
        <f t="shared" si="31"/>
        <v/>
      </c>
    </row>
    <row r="197" spans="1:29" x14ac:dyDescent="0.3">
      <c r="A197" s="202">
        <v>41470</v>
      </c>
      <c r="B197" s="203">
        <f t="shared" si="36"/>
        <v>7</v>
      </c>
      <c r="C197" s="203">
        <f t="shared" si="37"/>
        <v>1</v>
      </c>
      <c r="D197" s="201">
        <f t="shared" si="38"/>
        <v>238.75469677419355</v>
      </c>
      <c r="E197" s="201">
        <f t="shared" si="39"/>
        <v>340.90005161290321</v>
      </c>
      <c r="F197" s="201">
        <f t="shared" si="40"/>
        <v>141.16298999999998</v>
      </c>
      <c r="G197" s="201">
        <f>SUM(D$2:D197)</f>
        <v>16839.176051612903</v>
      </c>
      <c r="H197" s="201">
        <f>SUM(E$2:E197)</f>
        <v>21697.060974193504</v>
      </c>
      <c r="I197" s="201">
        <f>SUM(F$2:F197)</f>
        <v>6844.539237096772</v>
      </c>
      <c r="J197" s="201">
        <f>Model!F$51</f>
        <v>23678.322499999998</v>
      </c>
      <c r="K197" s="201">
        <f>Model!G$51</f>
        <v>26052.648000000005</v>
      </c>
      <c r="L197" s="201">
        <f>Model!H$51</f>
        <v>27478.056499999995</v>
      </c>
      <c r="M197" s="201">
        <f>Model!I$51</f>
        <v>28903.236999999997</v>
      </c>
      <c r="N197" s="201">
        <f>Model!J$51</f>
        <v>29853.18</v>
      </c>
      <c r="O197" s="201">
        <f>Model!K$51</f>
        <v>0</v>
      </c>
      <c r="P197" s="201">
        <f>Model!L$51</f>
        <v>0</v>
      </c>
      <c r="Q197" s="201">
        <f>Model!M$51</f>
        <v>0</v>
      </c>
      <c r="R197" s="201">
        <f>Model!N$51</f>
        <v>0</v>
      </c>
      <c r="S197" s="201">
        <f>Model!R$51</f>
        <v>25000</v>
      </c>
      <c r="T197" s="204" t="str">
        <f t="shared" si="41"/>
        <v/>
      </c>
      <c r="U197" s="204" t="str">
        <f t="shared" si="42"/>
        <v/>
      </c>
      <c r="V197" s="204" t="str">
        <f t="shared" si="43"/>
        <v/>
      </c>
      <c r="W197" s="204" t="str">
        <f t="shared" si="41"/>
        <v/>
      </c>
      <c r="X197" s="204" t="str">
        <f t="shared" si="44"/>
        <v/>
      </c>
      <c r="Y197" s="204" t="str">
        <f t="shared" si="44"/>
        <v xml:space="preserve">  </v>
      </c>
      <c r="Z197" s="204" t="str">
        <f t="shared" si="44"/>
        <v xml:space="preserve">  </v>
      </c>
      <c r="AA197" s="204" t="str">
        <f t="shared" si="34"/>
        <v xml:space="preserve">  </v>
      </c>
      <c r="AB197" s="204" t="str">
        <f t="shared" si="31"/>
        <v xml:space="preserve">  </v>
      </c>
      <c r="AC197" s="204" t="str">
        <f t="shared" si="31"/>
        <v/>
      </c>
    </row>
    <row r="198" spans="1:29" x14ac:dyDescent="0.3">
      <c r="A198" s="202">
        <v>41471</v>
      </c>
      <c r="B198" s="203">
        <f t="shared" si="36"/>
        <v>7</v>
      </c>
      <c r="C198" s="203">
        <f t="shared" si="37"/>
        <v>1</v>
      </c>
      <c r="D198" s="201">
        <f t="shared" si="38"/>
        <v>238.75469677419355</v>
      </c>
      <c r="E198" s="201">
        <f t="shared" si="39"/>
        <v>340.90005161290321</v>
      </c>
      <c r="F198" s="201">
        <f t="shared" si="40"/>
        <v>141.16298999999998</v>
      </c>
      <c r="G198" s="201">
        <f>SUM(D$2:D198)</f>
        <v>17077.930748387098</v>
      </c>
      <c r="H198" s="201">
        <f>SUM(E$2:E198)</f>
        <v>22037.961025806406</v>
      </c>
      <c r="I198" s="201">
        <f>SUM(F$2:F198)</f>
        <v>6985.7022270967718</v>
      </c>
      <c r="J198" s="201">
        <f>Model!F$51</f>
        <v>23678.322499999998</v>
      </c>
      <c r="K198" s="201">
        <f>Model!G$51</f>
        <v>26052.648000000005</v>
      </c>
      <c r="L198" s="201">
        <f>Model!H$51</f>
        <v>27478.056499999995</v>
      </c>
      <c r="M198" s="201">
        <f>Model!I$51</f>
        <v>28903.236999999997</v>
      </c>
      <c r="N198" s="201">
        <f>Model!J$51</f>
        <v>29853.18</v>
      </c>
      <c r="O198" s="201">
        <f>Model!K$51</f>
        <v>0</v>
      </c>
      <c r="P198" s="201">
        <f>Model!L$51</f>
        <v>0</v>
      </c>
      <c r="Q198" s="201">
        <f>Model!M$51</f>
        <v>0</v>
      </c>
      <c r="R198" s="201">
        <f>Model!N$51</f>
        <v>0</v>
      </c>
      <c r="S198" s="201">
        <f>Model!R$51</f>
        <v>25000</v>
      </c>
      <c r="T198" s="204" t="str">
        <f t="shared" si="41"/>
        <v/>
      </c>
      <c r="U198" s="204" t="str">
        <f t="shared" si="42"/>
        <v/>
      </c>
      <c r="V198" s="204" t="str">
        <f t="shared" si="43"/>
        <v/>
      </c>
      <c r="W198" s="204" t="str">
        <f t="shared" si="41"/>
        <v/>
      </c>
      <c r="X198" s="204" t="str">
        <f t="shared" si="44"/>
        <v/>
      </c>
      <c r="Y198" s="204" t="str">
        <f t="shared" si="44"/>
        <v xml:space="preserve">  </v>
      </c>
      <c r="Z198" s="204" t="str">
        <f t="shared" si="44"/>
        <v xml:space="preserve">  </v>
      </c>
      <c r="AA198" s="204" t="str">
        <f t="shared" si="34"/>
        <v xml:space="preserve">  </v>
      </c>
      <c r="AB198" s="204" t="str">
        <f t="shared" si="31"/>
        <v xml:space="preserve">  </v>
      </c>
      <c r="AC198" s="204" t="str">
        <f t="shared" si="31"/>
        <v/>
      </c>
    </row>
    <row r="199" spans="1:29" x14ac:dyDescent="0.3">
      <c r="A199" s="202">
        <v>41472</v>
      </c>
      <c r="B199" s="203">
        <f t="shared" si="36"/>
        <v>7</v>
      </c>
      <c r="C199" s="203">
        <f t="shared" si="37"/>
        <v>1</v>
      </c>
      <c r="D199" s="201">
        <f t="shared" si="38"/>
        <v>238.75469677419355</v>
      </c>
      <c r="E199" s="201">
        <f t="shared" si="39"/>
        <v>340.90005161290321</v>
      </c>
      <c r="F199" s="201">
        <f t="shared" si="40"/>
        <v>141.16298999999998</v>
      </c>
      <c r="G199" s="201">
        <f>SUM(D$2:D199)</f>
        <v>17316.685445161293</v>
      </c>
      <c r="H199" s="201">
        <f>SUM(E$2:E199)</f>
        <v>22378.861077419308</v>
      </c>
      <c r="I199" s="201">
        <f>SUM(F$2:F199)</f>
        <v>7126.8652170967716</v>
      </c>
      <c r="J199" s="201">
        <f>Model!F$51</f>
        <v>23678.322499999998</v>
      </c>
      <c r="K199" s="201">
        <f>Model!G$51</f>
        <v>26052.648000000005</v>
      </c>
      <c r="L199" s="201">
        <f>Model!H$51</f>
        <v>27478.056499999995</v>
      </c>
      <c r="M199" s="201">
        <f>Model!I$51</f>
        <v>28903.236999999997</v>
      </c>
      <c r="N199" s="201">
        <f>Model!J$51</f>
        <v>29853.18</v>
      </c>
      <c r="O199" s="201">
        <f>Model!K$51</f>
        <v>0</v>
      </c>
      <c r="P199" s="201">
        <f>Model!L$51</f>
        <v>0</v>
      </c>
      <c r="Q199" s="201">
        <f>Model!M$51</f>
        <v>0</v>
      </c>
      <c r="R199" s="201">
        <f>Model!N$51</f>
        <v>0</v>
      </c>
      <c r="S199" s="201">
        <f>Model!R$51</f>
        <v>25000</v>
      </c>
      <c r="T199" s="204" t="str">
        <f t="shared" si="41"/>
        <v/>
      </c>
      <c r="U199" s="204" t="str">
        <f t="shared" si="42"/>
        <v/>
      </c>
      <c r="V199" s="204" t="str">
        <f t="shared" si="43"/>
        <v/>
      </c>
      <c r="W199" s="204" t="str">
        <f t="shared" si="41"/>
        <v/>
      </c>
      <c r="X199" s="204" t="str">
        <f t="shared" si="44"/>
        <v/>
      </c>
      <c r="Y199" s="204" t="str">
        <f t="shared" si="44"/>
        <v xml:space="preserve">  </v>
      </c>
      <c r="Z199" s="204" t="str">
        <f t="shared" si="44"/>
        <v xml:space="preserve">  </v>
      </c>
      <c r="AA199" s="204" t="str">
        <f t="shared" si="34"/>
        <v xml:space="preserve">  </v>
      </c>
      <c r="AB199" s="204" t="str">
        <f t="shared" si="31"/>
        <v xml:space="preserve">  </v>
      </c>
      <c r="AC199" s="204" t="str">
        <f t="shared" si="31"/>
        <v/>
      </c>
    </row>
    <row r="200" spans="1:29" x14ac:dyDescent="0.3">
      <c r="A200" s="202">
        <v>41473</v>
      </c>
      <c r="B200" s="203">
        <f t="shared" si="36"/>
        <v>7</v>
      </c>
      <c r="C200" s="203">
        <f t="shared" si="37"/>
        <v>1</v>
      </c>
      <c r="D200" s="201">
        <f t="shared" si="38"/>
        <v>238.75469677419355</v>
      </c>
      <c r="E200" s="201">
        <f t="shared" si="39"/>
        <v>340.90005161290321</v>
      </c>
      <c r="F200" s="201">
        <f t="shared" si="40"/>
        <v>141.16298999999998</v>
      </c>
      <c r="G200" s="201">
        <f>SUM(D$2:D200)</f>
        <v>17555.440141935487</v>
      </c>
      <c r="H200" s="201">
        <f>SUM(E$2:E200)</f>
        <v>22719.761129032209</v>
      </c>
      <c r="I200" s="201">
        <f>SUM(F$2:F200)</f>
        <v>7268.0282070967714</v>
      </c>
      <c r="J200" s="201">
        <f>Model!F$51</f>
        <v>23678.322499999998</v>
      </c>
      <c r="K200" s="201">
        <f>Model!G$51</f>
        <v>26052.648000000005</v>
      </c>
      <c r="L200" s="201">
        <f>Model!H$51</f>
        <v>27478.056499999995</v>
      </c>
      <c r="M200" s="201">
        <f>Model!I$51</f>
        <v>28903.236999999997</v>
      </c>
      <c r="N200" s="201">
        <f>Model!J$51</f>
        <v>29853.18</v>
      </c>
      <c r="O200" s="201">
        <f>Model!K$51</f>
        <v>0</v>
      </c>
      <c r="P200" s="201">
        <f>Model!L$51</f>
        <v>0</v>
      </c>
      <c r="Q200" s="201">
        <f>Model!M$51</f>
        <v>0</v>
      </c>
      <c r="R200" s="201">
        <f>Model!N$51</f>
        <v>0</v>
      </c>
      <c r="S200" s="201">
        <f>Model!R$51</f>
        <v>25000</v>
      </c>
      <c r="T200" s="204" t="str">
        <f t="shared" si="41"/>
        <v/>
      </c>
      <c r="U200" s="204" t="str">
        <f t="shared" si="42"/>
        <v/>
      </c>
      <c r="V200" s="204" t="str">
        <f t="shared" si="43"/>
        <v/>
      </c>
      <c r="W200" s="204" t="str">
        <f t="shared" si="41"/>
        <v/>
      </c>
      <c r="X200" s="204" t="str">
        <f t="shared" si="44"/>
        <v/>
      </c>
      <c r="Y200" s="204" t="str">
        <f t="shared" si="44"/>
        <v xml:space="preserve">  </v>
      </c>
      <c r="Z200" s="204" t="str">
        <f t="shared" si="44"/>
        <v xml:space="preserve">  </v>
      </c>
      <c r="AA200" s="204" t="str">
        <f t="shared" si="34"/>
        <v xml:space="preserve">  </v>
      </c>
      <c r="AB200" s="204" t="str">
        <f t="shared" si="31"/>
        <v xml:space="preserve">  </v>
      </c>
      <c r="AC200" s="204" t="str">
        <f t="shared" si="31"/>
        <v/>
      </c>
    </row>
    <row r="201" spans="1:29" x14ac:dyDescent="0.3">
      <c r="A201" s="202">
        <v>41474</v>
      </c>
      <c r="B201" s="203">
        <f t="shared" si="36"/>
        <v>7</v>
      </c>
      <c r="C201" s="203">
        <f t="shared" si="37"/>
        <v>1</v>
      </c>
      <c r="D201" s="201">
        <f t="shared" si="38"/>
        <v>238.75469677419355</v>
      </c>
      <c r="E201" s="201">
        <f t="shared" si="39"/>
        <v>340.90005161290321</v>
      </c>
      <c r="F201" s="201">
        <f t="shared" si="40"/>
        <v>141.16298999999998</v>
      </c>
      <c r="G201" s="201">
        <f>SUM(D$2:D201)</f>
        <v>17794.194838709682</v>
      </c>
      <c r="H201" s="201">
        <f>SUM(E$2:E201)</f>
        <v>23060.661180645111</v>
      </c>
      <c r="I201" s="201">
        <f>SUM(F$2:F201)</f>
        <v>7409.1911970967712</v>
      </c>
      <c r="J201" s="201">
        <f>Model!F$51</f>
        <v>23678.322499999998</v>
      </c>
      <c r="K201" s="201">
        <f>Model!G$51</f>
        <v>26052.648000000005</v>
      </c>
      <c r="L201" s="201">
        <f>Model!H$51</f>
        <v>27478.056499999995</v>
      </c>
      <c r="M201" s="201">
        <f>Model!I$51</f>
        <v>28903.236999999997</v>
      </c>
      <c r="N201" s="201">
        <f>Model!J$51</f>
        <v>29853.18</v>
      </c>
      <c r="O201" s="201">
        <f>Model!K$51</f>
        <v>0</v>
      </c>
      <c r="P201" s="201">
        <f>Model!L$51</f>
        <v>0</v>
      </c>
      <c r="Q201" s="201">
        <f>Model!M$51</f>
        <v>0</v>
      </c>
      <c r="R201" s="201">
        <f>Model!N$51</f>
        <v>0</v>
      </c>
      <c r="S201" s="201">
        <f>Model!R$51</f>
        <v>25000</v>
      </c>
      <c r="T201" s="204" t="str">
        <f t="shared" si="41"/>
        <v/>
      </c>
      <c r="U201" s="204" t="str">
        <f t="shared" si="42"/>
        <v/>
      </c>
      <c r="V201" s="204" t="str">
        <f t="shared" si="43"/>
        <v/>
      </c>
      <c r="W201" s="204" t="str">
        <f t="shared" si="41"/>
        <v/>
      </c>
      <c r="X201" s="204" t="str">
        <f t="shared" si="44"/>
        <v/>
      </c>
      <c r="Y201" s="204" t="str">
        <f t="shared" si="44"/>
        <v xml:space="preserve">  </v>
      </c>
      <c r="Z201" s="204" t="str">
        <f t="shared" si="44"/>
        <v xml:space="preserve">  </v>
      </c>
      <c r="AA201" s="204" t="str">
        <f t="shared" si="34"/>
        <v xml:space="preserve">  </v>
      </c>
      <c r="AB201" s="204" t="str">
        <f t="shared" si="31"/>
        <v xml:space="preserve">  </v>
      </c>
      <c r="AC201" s="204" t="str">
        <f t="shared" si="31"/>
        <v/>
      </c>
    </row>
    <row r="202" spans="1:29" x14ac:dyDescent="0.3">
      <c r="A202" s="202">
        <v>41475</v>
      </c>
      <c r="B202" s="203">
        <f t="shared" si="36"/>
        <v>7</v>
      </c>
      <c r="C202" s="203">
        <f t="shared" si="37"/>
        <v>1</v>
      </c>
      <c r="D202" s="201">
        <f t="shared" si="38"/>
        <v>238.75469677419355</v>
      </c>
      <c r="E202" s="201">
        <f t="shared" si="39"/>
        <v>340.90005161290321</v>
      </c>
      <c r="F202" s="201">
        <f t="shared" si="40"/>
        <v>141.16298999999998</v>
      </c>
      <c r="G202" s="201">
        <f>SUM(D$2:D202)</f>
        <v>18032.949535483876</v>
      </c>
      <c r="H202" s="201">
        <f>SUM(E$2:E202)</f>
        <v>23401.561232258013</v>
      </c>
      <c r="I202" s="201">
        <f>SUM(F$2:F202)</f>
        <v>7550.3541870967711</v>
      </c>
      <c r="J202" s="201">
        <f>Model!F$51</f>
        <v>23678.322499999998</v>
      </c>
      <c r="K202" s="201">
        <f>Model!G$51</f>
        <v>26052.648000000005</v>
      </c>
      <c r="L202" s="201">
        <f>Model!H$51</f>
        <v>27478.056499999995</v>
      </c>
      <c r="M202" s="201">
        <f>Model!I$51</f>
        <v>28903.236999999997</v>
      </c>
      <c r="N202" s="201">
        <f>Model!J$51</f>
        <v>29853.18</v>
      </c>
      <c r="O202" s="201">
        <f>Model!K$51</f>
        <v>0</v>
      </c>
      <c r="P202" s="201">
        <f>Model!L$51</f>
        <v>0</v>
      </c>
      <c r="Q202" s="201">
        <f>Model!M$51</f>
        <v>0</v>
      </c>
      <c r="R202" s="201">
        <f>Model!N$51</f>
        <v>0</v>
      </c>
      <c r="S202" s="201">
        <f>Model!R$51</f>
        <v>25000</v>
      </c>
      <c r="T202" s="204" t="str">
        <f t="shared" si="41"/>
        <v/>
      </c>
      <c r="U202" s="204" t="str">
        <f t="shared" si="42"/>
        <v/>
      </c>
      <c r="V202" s="204" t="str">
        <f t="shared" si="43"/>
        <v/>
      </c>
      <c r="W202" s="204" t="str">
        <f t="shared" si="41"/>
        <v/>
      </c>
      <c r="X202" s="204" t="str">
        <f t="shared" si="44"/>
        <v/>
      </c>
      <c r="Y202" s="204" t="str">
        <f t="shared" si="44"/>
        <v xml:space="preserve">  </v>
      </c>
      <c r="Z202" s="204" t="str">
        <f t="shared" si="44"/>
        <v xml:space="preserve">  </v>
      </c>
      <c r="AA202" s="204" t="str">
        <f t="shared" si="34"/>
        <v xml:space="preserve">  </v>
      </c>
      <c r="AB202" s="204" t="str">
        <f t="shared" si="31"/>
        <v xml:space="preserve">  </v>
      </c>
      <c r="AC202" s="204" t="str">
        <f t="shared" si="31"/>
        <v/>
      </c>
    </row>
    <row r="203" spans="1:29" x14ac:dyDescent="0.3">
      <c r="A203" s="202">
        <v>41476</v>
      </c>
      <c r="B203" s="203">
        <f t="shared" si="36"/>
        <v>7</v>
      </c>
      <c r="C203" s="203">
        <f t="shared" si="37"/>
        <v>1</v>
      </c>
      <c r="D203" s="201">
        <f t="shared" si="38"/>
        <v>238.75469677419355</v>
      </c>
      <c r="E203" s="201">
        <f t="shared" si="39"/>
        <v>340.90005161290321</v>
      </c>
      <c r="F203" s="201">
        <f t="shared" si="40"/>
        <v>141.16298999999998</v>
      </c>
      <c r="G203" s="201">
        <f>SUM(D$2:D203)</f>
        <v>18271.704232258071</v>
      </c>
      <c r="H203" s="201">
        <f>SUM(E$2:E203)</f>
        <v>23742.461283870914</v>
      </c>
      <c r="I203" s="201">
        <f>SUM(F$2:F203)</f>
        <v>7691.5171770967709</v>
      </c>
      <c r="J203" s="201">
        <f>Model!F$51</f>
        <v>23678.322499999998</v>
      </c>
      <c r="K203" s="201">
        <f>Model!G$51</f>
        <v>26052.648000000005</v>
      </c>
      <c r="L203" s="201">
        <f>Model!H$51</f>
        <v>27478.056499999995</v>
      </c>
      <c r="M203" s="201">
        <f>Model!I$51</f>
        <v>28903.236999999997</v>
      </c>
      <c r="N203" s="201">
        <f>Model!J$51</f>
        <v>29853.18</v>
      </c>
      <c r="O203" s="201">
        <f>Model!K$51</f>
        <v>0</v>
      </c>
      <c r="P203" s="201">
        <f>Model!L$51</f>
        <v>0</v>
      </c>
      <c r="Q203" s="201">
        <f>Model!M$51</f>
        <v>0</v>
      </c>
      <c r="R203" s="201">
        <f>Model!N$51</f>
        <v>0</v>
      </c>
      <c r="S203" s="201">
        <f>Model!R$51</f>
        <v>25000</v>
      </c>
      <c r="T203" s="204" t="str">
        <f t="shared" si="41"/>
        <v/>
      </c>
      <c r="U203" s="204" t="str">
        <f t="shared" si="42"/>
        <v/>
      </c>
      <c r="V203" s="204" t="str">
        <f t="shared" si="43"/>
        <v/>
      </c>
      <c r="W203" s="204" t="str">
        <f t="shared" si="41"/>
        <v/>
      </c>
      <c r="X203" s="204" t="str">
        <f t="shared" si="44"/>
        <v/>
      </c>
      <c r="Y203" s="204" t="str">
        <f t="shared" si="44"/>
        <v xml:space="preserve">  </v>
      </c>
      <c r="Z203" s="204" t="str">
        <f t="shared" si="44"/>
        <v xml:space="preserve">  </v>
      </c>
      <c r="AA203" s="204" t="str">
        <f t="shared" si="34"/>
        <v xml:space="preserve">  </v>
      </c>
      <c r="AB203" s="204" t="str">
        <f t="shared" si="31"/>
        <v xml:space="preserve">  </v>
      </c>
      <c r="AC203" s="204" t="str">
        <f t="shared" si="31"/>
        <v/>
      </c>
    </row>
    <row r="204" spans="1:29" x14ac:dyDescent="0.3">
      <c r="A204" s="202">
        <v>41477</v>
      </c>
      <c r="B204" s="203">
        <f t="shared" si="36"/>
        <v>7</v>
      </c>
      <c r="C204" s="203">
        <f t="shared" si="37"/>
        <v>1</v>
      </c>
      <c r="D204" s="201">
        <f t="shared" si="38"/>
        <v>238.75469677419355</v>
      </c>
      <c r="E204" s="201">
        <f t="shared" si="39"/>
        <v>340.90005161290321</v>
      </c>
      <c r="F204" s="201">
        <f t="shared" si="40"/>
        <v>141.16298999999998</v>
      </c>
      <c r="G204" s="201">
        <f>SUM(D$2:D204)</f>
        <v>18510.458929032266</v>
      </c>
      <c r="H204" s="201">
        <f>SUM(E$2:E204)</f>
        <v>24083.361335483816</v>
      </c>
      <c r="I204" s="201">
        <f>SUM(F$2:F204)</f>
        <v>7832.6801670967707</v>
      </c>
      <c r="J204" s="201">
        <f>Model!F$51</f>
        <v>23678.322499999998</v>
      </c>
      <c r="K204" s="201">
        <f>Model!G$51</f>
        <v>26052.648000000005</v>
      </c>
      <c r="L204" s="201">
        <f>Model!H$51</f>
        <v>27478.056499999995</v>
      </c>
      <c r="M204" s="201">
        <f>Model!I$51</f>
        <v>28903.236999999997</v>
      </c>
      <c r="N204" s="201">
        <f>Model!J$51</f>
        <v>29853.18</v>
      </c>
      <c r="O204" s="201">
        <f>Model!K$51</f>
        <v>0</v>
      </c>
      <c r="P204" s="201">
        <f>Model!L$51</f>
        <v>0</v>
      </c>
      <c r="Q204" s="201">
        <f>Model!M$51</f>
        <v>0</v>
      </c>
      <c r="R204" s="201">
        <f>Model!N$51</f>
        <v>0</v>
      </c>
      <c r="S204" s="201">
        <f>Model!R$51</f>
        <v>25000</v>
      </c>
      <c r="T204" s="204" t="str">
        <f t="shared" si="41"/>
        <v/>
      </c>
      <c r="U204" s="204" t="str">
        <f t="shared" si="42"/>
        <v/>
      </c>
      <c r="V204" s="204" t="str">
        <f t="shared" si="43"/>
        <v/>
      </c>
      <c r="W204" s="204" t="str">
        <f t="shared" si="41"/>
        <v/>
      </c>
      <c r="X204" s="204" t="str">
        <f t="shared" si="44"/>
        <v/>
      </c>
      <c r="Y204" s="204" t="str">
        <f t="shared" si="44"/>
        <v xml:space="preserve">  </v>
      </c>
      <c r="Z204" s="204" t="str">
        <f t="shared" si="44"/>
        <v xml:space="preserve">  </v>
      </c>
      <c r="AA204" s="204" t="str">
        <f t="shared" si="34"/>
        <v xml:space="preserve">  </v>
      </c>
      <c r="AB204" s="204" t="str">
        <f t="shared" si="31"/>
        <v xml:space="preserve">  </v>
      </c>
      <c r="AC204" s="204" t="str">
        <f t="shared" si="31"/>
        <v/>
      </c>
    </row>
    <row r="205" spans="1:29" x14ac:dyDescent="0.3">
      <c r="A205" s="202">
        <v>41478</v>
      </c>
      <c r="B205" s="203">
        <f t="shared" si="36"/>
        <v>7</v>
      </c>
      <c r="C205" s="203">
        <f t="shared" si="37"/>
        <v>1</v>
      </c>
      <c r="D205" s="201">
        <f t="shared" si="38"/>
        <v>238.75469677419355</v>
      </c>
      <c r="E205" s="201">
        <f t="shared" si="39"/>
        <v>340.90005161290321</v>
      </c>
      <c r="F205" s="201">
        <f t="shared" si="40"/>
        <v>141.16298999999998</v>
      </c>
      <c r="G205" s="201">
        <f>SUM(D$2:D205)</f>
        <v>18749.21362580646</v>
      </c>
      <c r="H205" s="201">
        <f>SUM(E$2:E205)</f>
        <v>24424.261387096718</v>
      </c>
      <c r="I205" s="201">
        <f>SUM(F$2:F205)</f>
        <v>7973.8431570967705</v>
      </c>
      <c r="J205" s="201">
        <f>Model!F$51</f>
        <v>23678.322499999998</v>
      </c>
      <c r="K205" s="201">
        <f>Model!G$51</f>
        <v>26052.648000000005</v>
      </c>
      <c r="L205" s="201">
        <f>Model!H$51</f>
        <v>27478.056499999995</v>
      </c>
      <c r="M205" s="201">
        <f>Model!I$51</f>
        <v>28903.236999999997</v>
      </c>
      <c r="N205" s="201">
        <f>Model!J$51</f>
        <v>29853.18</v>
      </c>
      <c r="O205" s="201">
        <f>Model!K$51</f>
        <v>0</v>
      </c>
      <c r="P205" s="201">
        <f>Model!L$51</f>
        <v>0</v>
      </c>
      <c r="Q205" s="201">
        <f>Model!M$51</f>
        <v>0</v>
      </c>
      <c r="R205" s="201">
        <f>Model!N$51</f>
        <v>0</v>
      </c>
      <c r="S205" s="201">
        <f>Model!R$51</f>
        <v>25000</v>
      </c>
      <c r="T205" s="204" t="str">
        <f t="shared" si="41"/>
        <v/>
      </c>
      <c r="U205" s="204" t="str">
        <f t="shared" si="42"/>
        <v/>
      </c>
      <c r="V205" s="204" t="str">
        <f t="shared" si="43"/>
        <v/>
      </c>
      <c r="W205" s="204" t="str">
        <f t="shared" si="41"/>
        <v/>
      </c>
      <c r="X205" s="204" t="str">
        <f t="shared" si="44"/>
        <v/>
      </c>
      <c r="Y205" s="204" t="str">
        <f t="shared" si="44"/>
        <v xml:space="preserve">  </v>
      </c>
      <c r="Z205" s="204" t="str">
        <f t="shared" si="44"/>
        <v xml:space="preserve">  </v>
      </c>
      <c r="AA205" s="204" t="str">
        <f t="shared" si="34"/>
        <v xml:space="preserve">  </v>
      </c>
      <c r="AB205" s="204" t="str">
        <f t="shared" si="31"/>
        <v xml:space="preserve">  </v>
      </c>
      <c r="AC205" s="204" t="str">
        <f t="shared" si="31"/>
        <v/>
      </c>
    </row>
    <row r="206" spans="1:29" x14ac:dyDescent="0.3">
      <c r="A206" s="202">
        <v>41479</v>
      </c>
      <c r="B206" s="203">
        <f t="shared" si="36"/>
        <v>7</v>
      </c>
      <c r="C206" s="203">
        <f t="shared" si="37"/>
        <v>1</v>
      </c>
      <c r="D206" s="201">
        <f t="shared" si="38"/>
        <v>238.75469677419355</v>
      </c>
      <c r="E206" s="201">
        <f t="shared" si="39"/>
        <v>340.90005161290321</v>
      </c>
      <c r="F206" s="201">
        <f t="shared" si="40"/>
        <v>141.16298999999998</v>
      </c>
      <c r="G206" s="201">
        <f>SUM(D$2:D206)</f>
        <v>18987.968322580655</v>
      </c>
      <c r="H206" s="201">
        <f>SUM(E$2:E206)</f>
        <v>24765.16143870962</v>
      </c>
      <c r="I206" s="201">
        <f>SUM(F$2:F206)</f>
        <v>8115.0061470967703</v>
      </c>
      <c r="J206" s="201">
        <f>Model!F$51</f>
        <v>23678.322499999998</v>
      </c>
      <c r="K206" s="201">
        <f>Model!G$51</f>
        <v>26052.648000000005</v>
      </c>
      <c r="L206" s="201">
        <f>Model!H$51</f>
        <v>27478.056499999995</v>
      </c>
      <c r="M206" s="201">
        <f>Model!I$51</f>
        <v>28903.236999999997</v>
      </c>
      <c r="N206" s="201">
        <f>Model!J$51</f>
        <v>29853.18</v>
      </c>
      <c r="O206" s="201">
        <f>Model!K$51</f>
        <v>0</v>
      </c>
      <c r="P206" s="201">
        <f>Model!L$51</f>
        <v>0</v>
      </c>
      <c r="Q206" s="201">
        <f>Model!M$51</f>
        <v>0</v>
      </c>
      <c r="R206" s="201">
        <f>Model!N$51</f>
        <v>0</v>
      </c>
      <c r="S206" s="201">
        <f>Model!R$51</f>
        <v>25000</v>
      </c>
      <c r="T206" s="204" t="str">
        <f t="shared" si="41"/>
        <v/>
      </c>
      <c r="U206" s="204" t="str">
        <f t="shared" si="42"/>
        <v/>
      </c>
      <c r="V206" s="204" t="str">
        <f t="shared" si="43"/>
        <v/>
      </c>
      <c r="W206" s="204" t="str">
        <f t="shared" si="41"/>
        <v/>
      </c>
      <c r="X206" s="204" t="str">
        <f t="shared" si="44"/>
        <v/>
      </c>
      <c r="Y206" s="204" t="str">
        <f t="shared" si="44"/>
        <v xml:space="preserve">  </v>
      </c>
      <c r="Z206" s="204" t="str">
        <f t="shared" si="44"/>
        <v xml:space="preserve">  </v>
      </c>
      <c r="AA206" s="204" t="str">
        <f t="shared" si="34"/>
        <v xml:space="preserve">  </v>
      </c>
      <c r="AB206" s="204" t="str">
        <f t="shared" si="31"/>
        <v xml:space="preserve">  </v>
      </c>
      <c r="AC206" s="204" t="str">
        <f t="shared" si="31"/>
        <v/>
      </c>
    </row>
    <row r="207" spans="1:29" x14ac:dyDescent="0.3">
      <c r="A207" s="202">
        <v>41480</v>
      </c>
      <c r="B207" s="203">
        <f t="shared" si="36"/>
        <v>7</v>
      </c>
      <c r="C207" s="203">
        <f t="shared" si="37"/>
        <v>1</v>
      </c>
      <c r="D207" s="201">
        <f t="shared" si="38"/>
        <v>238.75469677419355</v>
      </c>
      <c r="E207" s="201">
        <f t="shared" si="39"/>
        <v>340.90005161290321</v>
      </c>
      <c r="F207" s="201">
        <f t="shared" si="40"/>
        <v>141.16298999999998</v>
      </c>
      <c r="G207" s="201">
        <f>SUM(D$2:D207)</f>
        <v>19226.723019354849</v>
      </c>
      <c r="H207" s="201">
        <f>SUM(E$2:E207)</f>
        <v>25106.061490322521</v>
      </c>
      <c r="I207" s="201">
        <f>SUM(F$2:F207)</f>
        <v>8256.169137096771</v>
      </c>
      <c r="J207" s="201">
        <f>Model!F$51</f>
        <v>23678.322499999998</v>
      </c>
      <c r="K207" s="201">
        <f>Model!G$51</f>
        <v>26052.648000000005</v>
      </c>
      <c r="L207" s="201">
        <f>Model!H$51</f>
        <v>27478.056499999995</v>
      </c>
      <c r="M207" s="201">
        <f>Model!I$51</f>
        <v>28903.236999999997</v>
      </c>
      <c r="N207" s="201">
        <f>Model!J$51</f>
        <v>29853.18</v>
      </c>
      <c r="O207" s="201">
        <f>Model!K$51</f>
        <v>0</v>
      </c>
      <c r="P207" s="201">
        <f>Model!L$51</f>
        <v>0</v>
      </c>
      <c r="Q207" s="201">
        <f>Model!M$51</f>
        <v>0</v>
      </c>
      <c r="R207" s="201">
        <f>Model!N$51</f>
        <v>0</v>
      </c>
      <c r="S207" s="201">
        <f>Model!R$51</f>
        <v>25000</v>
      </c>
      <c r="T207" s="204" t="str">
        <f t="shared" si="41"/>
        <v/>
      </c>
      <c r="U207" s="204" t="str">
        <f t="shared" si="42"/>
        <v/>
      </c>
      <c r="V207" s="204" t="str">
        <f t="shared" si="43"/>
        <v/>
      </c>
      <c r="W207" s="204" t="str">
        <f t="shared" si="41"/>
        <v/>
      </c>
      <c r="X207" s="204" t="str">
        <f t="shared" si="44"/>
        <v/>
      </c>
      <c r="Y207" s="204" t="str">
        <f t="shared" si="44"/>
        <v xml:space="preserve">  </v>
      </c>
      <c r="Z207" s="204" t="str">
        <f t="shared" si="44"/>
        <v xml:space="preserve">  </v>
      </c>
      <c r="AA207" s="204" t="str">
        <f t="shared" si="34"/>
        <v xml:space="preserve">  </v>
      </c>
      <c r="AB207" s="204" t="str">
        <f t="shared" si="31"/>
        <v xml:space="preserve">  </v>
      </c>
      <c r="AC207" s="204" t="str">
        <f t="shared" si="31"/>
        <v/>
      </c>
    </row>
    <row r="208" spans="1:29" x14ac:dyDescent="0.3">
      <c r="A208" s="202">
        <v>41481</v>
      </c>
      <c r="B208" s="203">
        <f t="shared" si="36"/>
        <v>7</v>
      </c>
      <c r="C208" s="203">
        <f t="shared" si="37"/>
        <v>1</v>
      </c>
      <c r="D208" s="201">
        <f t="shared" si="38"/>
        <v>238.75469677419355</v>
      </c>
      <c r="E208" s="201">
        <f t="shared" si="39"/>
        <v>340.90005161290321</v>
      </c>
      <c r="F208" s="201">
        <f t="shared" si="40"/>
        <v>141.16298999999998</v>
      </c>
      <c r="G208" s="201">
        <f>SUM(D$2:D208)</f>
        <v>19465.477716129044</v>
      </c>
      <c r="H208" s="201">
        <f>SUM(E$2:E208)</f>
        <v>25446.961541935423</v>
      </c>
      <c r="I208" s="201">
        <f>SUM(F$2:F208)</f>
        <v>8397.3321270967717</v>
      </c>
      <c r="J208" s="201">
        <f>Model!F$51</f>
        <v>23678.322499999998</v>
      </c>
      <c r="K208" s="201">
        <f>Model!G$51</f>
        <v>26052.648000000005</v>
      </c>
      <c r="L208" s="201">
        <f>Model!H$51</f>
        <v>27478.056499999995</v>
      </c>
      <c r="M208" s="201">
        <f>Model!I$51</f>
        <v>28903.236999999997</v>
      </c>
      <c r="N208" s="201">
        <f>Model!J$51</f>
        <v>29853.18</v>
      </c>
      <c r="O208" s="201">
        <f>Model!K$51</f>
        <v>0</v>
      </c>
      <c r="P208" s="201">
        <f>Model!L$51</f>
        <v>0</v>
      </c>
      <c r="Q208" s="201">
        <f>Model!M$51</f>
        <v>0</v>
      </c>
      <c r="R208" s="201">
        <f>Model!N$51</f>
        <v>0</v>
      </c>
      <c r="S208" s="201">
        <f>Model!R$51</f>
        <v>25000</v>
      </c>
      <c r="T208" s="204" t="str">
        <f t="shared" si="41"/>
        <v/>
      </c>
      <c r="U208" s="204" t="str">
        <f t="shared" si="42"/>
        <v/>
      </c>
      <c r="V208" s="204" t="str">
        <f t="shared" si="43"/>
        <v/>
      </c>
      <c r="W208" s="204" t="str">
        <f t="shared" si="41"/>
        <v/>
      </c>
      <c r="X208" s="204" t="str">
        <f t="shared" si="44"/>
        <v/>
      </c>
      <c r="Y208" s="204" t="str">
        <f t="shared" si="44"/>
        <v xml:space="preserve">  </v>
      </c>
      <c r="Z208" s="204" t="str">
        <f t="shared" si="44"/>
        <v xml:space="preserve">  </v>
      </c>
      <c r="AA208" s="204" t="str">
        <f t="shared" si="34"/>
        <v xml:space="preserve">  </v>
      </c>
      <c r="AB208" s="204" t="str">
        <f t="shared" si="31"/>
        <v xml:space="preserve">  </v>
      </c>
      <c r="AC208" s="204" t="str">
        <f t="shared" si="31"/>
        <v/>
      </c>
    </row>
    <row r="209" spans="1:29" x14ac:dyDescent="0.3">
      <c r="A209" s="202">
        <v>41482</v>
      </c>
      <c r="B209" s="203">
        <f t="shared" si="36"/>
        <v>7</v>
      </c>
      <c r="C209" s="203">
        <f t="shared" si="37"/>
        <v>1</v>
      </c>
      <c r="D209" s="201">
        <f t="shared" si="38"/>
        <v>238.75469677419355</v>
      </c>
      <c r="E209" s="201">
        <f t="shared" si="39"/>
        <v>340.90005161290321</v>
      </c>
      <c r="F209" s="201">
        <f t="shared" si="40"/>
        <v>141.16298999999998</v>
      </c>
      <c r="G209" s="201">
        <f>SUM(D$2:D209)</f>
        <v>19704.232412903239</v>
      </c>
      <c r="H209" s="201">
        <f>SUM(E$2:E209)</f>
        <v>25787.861593548325</v>
      </c>
      <c r="I209" s="201">
        <f>SUM(F$2:F209)</f>
        <v>8538.4951170967724</v>
      </c>
      <c r="J209" s="201">
        <f>Model!F$51</f>
        <v>23678.322499999998</v>
      </c>
      <c r="K209" s="201">
        <f>Model!G$51</f>
        <v>26052.648000000005</v>
      </c>
      <c r="L209" s="201">
        <f>Model!H$51</f>
        <v>27478.056499999995</v>
      </c>
      <c r="M209" s="201">
        <f>Model!I$51</f>
        <v>28903.236999999997</v>
      </c>
      <c r="N209" s="201">
        <f>Model!J$51</f>
        <v>29853.18</v>
      </c>
      <c r="O209" s="201">
        <f>Model!K$51</f>
        <v>0</v>
      </c>
      <c r="P209" s="201">
        <f>Model!L$51</f>
        <v>0</v>
      </c>
      <c r="Q209" s="201">
        <f>Model!M$51</f>
        <v>0</v>
      </c>
      <c r="R209" s="201">
        <f>Model!N$51</f>
        <v>0</v>
      </c>
      <c r="S209" s="201">
        <f>Model!R$51</f>
        <v>25000</v>
      </c>
      <c r="T209" s="204" t="str">
        <f t="shared" si="41"/>
        <v/>
      </c>
      <c r="U209" s="204" t="str">
        <f t="shared" si="42"/>
        <v/>
      </c>
      <c r="V209" s="204" t="str">
        <f t="shared" si="43"/>
        <v/>
      </c>
      <c r="W209" s="204" t="str">
        <f t="shared" si="41"/>
        <v/>
      </c>
      <c r="X209" s="204" t="str">
        <f t="shared" si="44"/>
        <v/>
      </c>
      <c r="Y209" s="204" t="str">
        <f t="shared" si="44"/>
        <v xml:space="preserve">  </v>
      </c>
      <c r="Z209" s="204" t="str">
        <f t="shared" si="44"/>
        <v xml:space="preserve">  </v>
      </c>
      <c r="AA209" s="204" t="str">
        <f t="shared" si="34"/>
        <v xml:space="preserve">  </v>
      </c>
      <c r="AB209" s="204" t="str">
        <f t="shared" si="34"/>
        <v xml:space="preserve">  </v>
      </c>
      <c r="AC209" s="204" t="str">
        <f t="shared" si="34"/>
        <v/>
      </c>
    </row>
    <row r="210" spans="1:29" x14ac:dyDescent="0.3">
      <c r="A210" s="202">
        <v>41483</v>
      </c>
      <c r="B210" s="203">
        <f t="shared" si="36"/>
        <v>7</v>
      </c>
      <c r="C210" s="203">
        <f t="shared" si="37"/>
        <v>1</v>
      </c>
      <c r="D210" s="201">
        <f t="shared" si="38"/>
        <v>238.75469677419355</v>
      </c>
      <c r="E210" s="201">
        <f t="shared" si="39"/>
        <v>340.90005161290321</v>
      </c>
      <c r="F210" s="201">
        <f t="shared" si="40"/>
        <v>141.16298999999998</v>
      </c>
      <c r="G210" s="201">
        <f>SUM(D$2:D210)</f>
        <v>19942.987109677433</v>
      </c>
      <c r="H210" s="201">
        <f>SUM(E$2:E210)</f>
        <v>26128.761645161227</v>
      </c>
      <c r="I210" s="201">
        <f>SUM(F$2:F210)</f>
        <v>8679.6581070967732</v>
      </c>
      <c r="J210" s="201">
        <f>Model!F$51</f>
        <v>23678.322499999998</v>
      </c>
      <c r="K210" s="201">
        <f>Model!G$51</f>
        <v>26052.648000000005</v>
      </c>
      <c r="L210" s="201">
        <f>Model!H$51</f>
        <v>27478.056499999995</v>
      </c>
      <c r="M210" s="201">
        <f>Model!I$51</f>
        <v>28903.236999999997</v>
      </c>
      <c r="N210" s="201">
        <f>Model!J$51</f>
        <v>29853.18</v>
      </c>
      <c r="O210" s="201">
        <f>Model!K$51</f>
        <v>0</v>
      </c>
      <c r="P210" s="201">
        <f>Model!L$51</f>
        <v>0</v>
      </c>
      <c r="Q210" s="201">
        <f>Model!M$51</f>
        <v>0</v>
      </c>
      <c r="R210" s="201">
        <f>Model!N$51</f>
        <v>0</v>
      </c>
      <c r="S210" s="201">
        <f>Model!R$51</f>
        <v>25000</v>
      </c>
      <c r="T210" s="204" t="str">
        <f t="shared" si="41"/>
        <v/>
      </c>
      <c r="U210" s="204" t="str">
        <f t="shared" si="42"/>
        <v/>
      </c>
      <c r="V210" s="204" t="str">
        <f t="shared" si="43"/>
        <v/>
      </c>
      <c r="W210" s="204" t="str">
        <f t="shared" si="41"/>
        <v/>
      </c>
      <c r="X210" s="204" t="str">
        <f t="shared" si="44"/>
        <v/>
      </c>
      <c r="Y210" s="204" t="str">
        <f t="shared" si="44"/>
        <v xml:space="preserve">  </v>
      </c>
      <c r="Z210" s="204" t="str">
        <f t="shared" si="44"/>
        <v xml:space="preserve">  </v>
      </c>
      <c r="AA210" s="204" t="str">
        <f t="shared" si="34"/>
        <v xml:space="preserve">  </v>
      </c>
      <c r="AB210" s="204" t="str">
        <f t="shared" si="34"/>
        <v xml:space="preserve">  </v>
      </c>
      <c r="AC210" s="204" t="str">
        <f t="shared" si="34"/>
        <v/>
      </c>
    </row>
    <row r="211" spans="1:29" x14ac:dyDescent="0.3">
      <c r="A211" s="202">
        <v>41484</v>
      </c>
      <c r="B211" s="203">
        <f t="shared" si="36"/>
        <v>7</v>
      </c>
      <c r="C211" s="203">
        <f t="shared" si="37"/>
        <v>1</v>
      </c>
      <c r="D211" s="201">
        <f t="shared" si="38"/>
        <v>238.75469677419355</v>
      </c>
      <c r="E211" s="201">
        <f t="shared" si="39"/>
        <v>340.90005161290321</v>
      </c>
      <c r="F211" s="201">
        <f t="shared" si="40"/>
        <v>141.16298999999998</v>
      </c>
      <c r="G211" s="201">
        <f>SUM(D$2:D211)</f>
        <v>20181.741806451628</v>
      </c>
      <c r="H211" s="201">
        <f>SUM(E$2:E211)</f>
        <v>26469.661696774128</v>
      </c>
      <c r="I211" s="201">
        <f>SUM(F$2:F211)</f>
        <v>8820.8210970967739</v>
      </c>
      <c r="J211" s="201">
        <f>Model!F$51</f>
        <v>23678.322499999998</v>
      </c>
      <c r="K211" s="201">
        <f>Model!G$51</f>
        <v>26052.648000000005</v>
      </c>
      <c r="L211" s="201">
        <f>Model!H$51</f>
        <v>27478.056499999995</v>
      </c>
      <c r="M211" s="201">
        <f>Model!I$51</f>
        <v>28903.236999999997</v>
      </c>
      <c r="N211" s="201">
        <f>Model!J$51</f>
        <v>29853.18</v>
      </c>
      <c r="O211" s="201">
        <f>Model!K$51</f>
        <v>0</v>
      </c>
      <c r="P211" s="201">
        <f>Model!L$51</f>
        <v>0</v>
      </c>
      <c r="Q211" s="201">
        <f>Model!M$51</f>
        <v>0</v>
      </c>
      <c r="R211" s="201">
        <f>Model!N$51</f>
        <v>0</v>
      </c>
      <c r="S211" s="201">
        <f>Model!R$51</f>
        <v>25000</v>
      </c>
      <c r="T211" s="204" t="str">
        <f t="shared" si="41"/>
        <v/>
      </c>
      <c r="U211" s="204" t="str">
        <f t="shared" si="42"/>
        <v/>
      </c>
      <c r="V211" s="204" t="str">
        <f t="shared" si="43"/>
        <v/>
      </c>
      <c r="W211" s="204" t="str">
        <f t="shared" si="41"/>
        <v/>
      </c>
      <c r="X211" s="204" t="str">
        <f t="shared" si="44"/>
        <v/>
      </c>
      <c r="Y211" s="204" t="str">
        <f t="shared" si="44"/>
        <v xml:space="preserve">  </v>
      </c>
      <c r="Z211" s="204" t="str">
        <f t="shared" si="44"/>
        <v xml:space="preserve">  </v>
      </c>
      <c r="AA211" s="204" t="str">
        <f t="shared" si="34"/>
        <v xml:space="preserve">  </v>
      </c>
      <c r="AB211" s="204" t="str">
        <f t="shared" si="34"/>
        <v xml:space="preserve">  </v>
      </c>
      <c r="AC211" s="204" t="str">
        <f t="shared" si="34"/>
        <v/>
      </c>
    </row>
    <row r="212" spans="1:29" x14ac:dyDescent="0.3">
      <c r="A212" s="202">
        <v>41485</v>
      </c>
      <c r="B212" s="203">
        <f t="shared" si="36"/>
        <v>7</v>
      </c>
      <c r="C212" s="203">
        <f t="shared" si="37"/>
        <v>1</v>
      </c>
      <c r="D212" s="201">
        <f t="shared" si="38"/>
        <v>238.75469677419355</v>
      </c>
      <c r="E212" s="201">
        <f t="shared" si="39"/>
        <v>340.90005161290321</v>
      </c>
      <c r="F212" s="201">
        <f t="shared" si="40"/>
        <v>141.16298999999998</v>
      </c>
      <c r="G212" s="201">
        <f>SUM(D$2:D212)</f>
        <v>20420.496503225822</v>
      </c>
      <c r="H212" s="201">
        <f>SUM(E$2:E212)</f>
        <v>26810.56174838703</v>
      </c>
      <c r="I212" s="201">
        <f>SUM(F$2:F212)</f>
        <v>8961.9840870967746</v>
      </c>
      <c r="J212" s="201">
        <f>Model!F$51</f>
        <v>23678.322499999998</v>
      </c>
      <c r="K212" s="201">
        <f>Model!G$51</f>
        <v>26052.648000000005</v>
      </c>
      <c r="L212" s="201">
        <f>Model!H$51</f>
        <v>27478.056499999995</v>
      </c>
      <c r="M212" s="201">
        <f>Model!I$51</f>
        <v>28903.236999999997</v>
      </c>
      <c r="N212" s="201">
        <f>Model!J$51</f>
        <v>29853.18</v>
      </c>
      <c r="O212" s="201">
        <f>Model!K$51</f>
        <v>0</v>
      </c>
      <c r="P212" s="201">
        <f>Model!L$51</f>
        <v>0</v>
      </c>
      <c r="Q212" s="201">
        <f>Model!M$51</f>
        <v>0</v>
      </c>
      <c r="R212" s="201">
        <f>Model!N$51</f>
        <v>0</v>
      </c>
      <c r="S212" s="201">
        <f>Model!R$51</f>
        <v>25000</v>
      </c>
      <c r="T212" s="204" t="str">
        <f t="shared" si="41"/>
        <v/>
      </c>
      <c r="U212" s="204" t="str">
        <f t="shared" si="42"/>
        <v/>
      </c>
      <c r="V212" s="204" t="str">
        <f t="shared" si="43"/>
        <v/>
      </c>
      <c r="W212" s="204" t="str">
        <f t="shared" si="41"/>
        <v/>
      </c>
      <c r="X212" s="204" t="str">
        <f t="shared" si="44"/>
        <v/>
      </c>
      <c r="Y212" s="204" t="str">
        <f t="shared" si="44"/>
        <v xml:space="preserve">  </v>
      </c>
      <c r="Z212" s="204" t="str">
        <f t="shared" si="44"/>
        <v xml:space="preserve">  </v>
      </c>
      <c r="AA212" s="204" t="str">
        <f t="shared" si="34"/>
        <v xml:space="preserve">  </v>
      </c>
      <c r="AB212" s="204" t="str">
        <f t="shared" si="34"/>
        <v xml:space="preserve">  </v>
      </c>
      <c r="AC212" s="204" t="str">
        <f t="shared" si="34"/>
        <v/>
      </c>
    </row>
    <row r="213" spans="1:29" x14ac:dyDescent="0.3">
      <c r="A213" s="202">
        <v>41486</v>
      </c>
      <c r="B213" s="203">
        <f t="shared" si="36"/>
        <v>7</v>
      </c>
      <c r="C213" s="203">
        <f t="shared" si="37"/>
        <v>1</v>
      </c>
      <c r="D213" s="201">
        <f t="shared" si="38"/>
        <v>238.75469677419355</v>
      </c>
      <c r="E213" s="201">
        <f t="shared" si="39"/>
        <v>340.90005161290321</v>
      </c>
      <c r="F213" s="201">
        <f t="shared" si="40"/>
        <v>141.16298999999998</v>
      </c>
      <c r="G213" s="201">
        <f>SUM(D$2:D213)</f>
        <v>20659.251200000017</v>
      </c>
      <c r="H213" s="201">
        <f>SUM(E$2:E213)</f>
        <v>27151.461799999932</v>
      </c>
      <c r="I213" s="201">
        <f>SUM(F$2:F213)</f>
        <v>9103.1470770967753</v>
      </c>
      <c r="J213" s="201">
        <f>Model!F$51</f>
        <v>23678.322499999998</v>
      </c>
      <c r="K213" s="201">
        <f>Model!G$51</f>
        <v>26052.648000000005</v>
      </c>
      <c r="L213" s="201">
        <f>Model!H$51</f>
        <v>27478.056499999995</v>
      </c>
      <c r="M213" s="201">
        <f>Model!I$51</f>
        <v>28903.236999999997</v>
      </c>
      <c r="N213" s="201">
        <f>Model!J$51</f>
        <v>29853.18</v>
      </c>
      <c r="O213" s="201">
        <f>Model!K$51</f>
        <v>0</v>
      </c>
      <c r="P213" s="201">
        <f>Model!L$51</f>
        <v>0</v>
      </c>
      <c r="Q213" s="201">
        <f>Model!M$51</f>
        <v>0</v>
      </c>
      <c r="R213" s="201">
        <f>Model!N$51</f>
        <v>0</v>
      </c>
      <c r="S213" s="201">
        <f>Model!R$51</f>
        <v>25000</v>
      </c>
      <c r="T213" s="204" t="str">
        <f t="shared" si="41"/>
        <v/>
      </c>
      <c r="U213" s="204" t="str">
        <f t="shared" si="42"/>
        <v/>
      </c>
      <c r="V213" s="204" t="str">
        <f t="shared" si="43"/>
        <v/>
      </c>
      <c r="W213" s="204" t="str">
        <f t="shared" si="41"/>
        <v/>
      </c>
      <c r="X213" s="204" t="str">
        <f t="shared" si="44"/>
        <v/>
      </c>
      <c r="Y213" s="204" t="str">
        <f t="shared" si="44"/>
        <v xml:space="preserve">  </v>
      </c>
      <c r="Z213" s="204" t="str">
        <f t="shared" si="44"/>
        <v xml:space="preserve">  </v>
      </c>
      <c r="AA213" s="204" t="str">
        <f t="shared" si="34"/>
        <v xml:space="preserve">  </v>
      </c>
      <c r="AB213" s="204" t="str">
        <f t="shared" si="34"/>
        <v xml:space="preserve">  </v>
      </c>
      <c r="AC213" s="204" t="str">
        <f t="shared" si="34"/>
        <v/>
      </c>
    </row>
    <row r="214" spans="1:29" x14ac:dyDescent="0.3">
      <c r="A214" s="202">
        <v>41487</v>
      </c>
      <c r="B214" s="203">
        <f t="shared" si="36"/>
        <v>8</v>
      </c>
      <c r="C214" s="203">
        <f t="shared" si="37"/>
        <v>1</v>
      </c>
      <c r="D214" s="201">
        <f t="shared" si="38"/>
        <v>238.75469677419355</v>
      </c>
      <c r="E214" s="201">
        <f t="shared" si="39"/>
        <v>340.90005161290321</v>
      </c>
      <c r="F214" s="201">
        <f t="shared" si="40"/>
        <v>136.60934516129032</v>
      </c>
      <c r="G214" s="201">
        <f>SUM(D$2:D214)</f>
        <v>20898.005896774212</v>
      </c>
      <c r="H214" s="201">
        <f>SUM(E$2:E214)</f>
        <v>27492.361851612834</v>
      </c>
      <c r="I214" s="201">
        <f>SUM(F$2:F214)</f>
        <v>9239.7564222580659</v>
      </c>
      <c r="J214" s="201">
        <f>Model!F$51</f>
        <v>23678.322499999998</v>
      </c>
      <c r="K214" s="201">
        <f>Model!G$51</f>
        <v>26052.648000000005</v>
      </c>
      <c r="L214" s="201">
        <f>Model!H$51</f>
        <v>27478.056499999995</v>
      </c>
      <c r="M214" s="201">
        <f>Model!I$51</f>
        <v>28903.236999999997</v>
      </c>
      <c r="N214" s="201">
        <f>Model!J$51</f>
        <v>29853.18</v>
      </c>
      <c r="O214" s="201">
        <f>Model!K$51</f>
        <v>0</v>
      </c>
      <c r="P214" s="201">
        <f>Model!L$51</f>
        <v>0</v>
      </c>
      <c r="Q214" s="201">
        <f>Model!M$51</f>
        <v>0</v>
      </c>
      <c r="R214" s="201">
        <f>Model!N$51</f>
        <v>0</v>
      </c>
      <c r="S214" s="201">
        <f>Model!R$51</f>
        <v>25000</v>
      </c>
      <c r="T214" s="204" t="str">
        <f t="shared" si="41"/>
        <v/>
      </c>
      <c r="U214" s="204" t="str">
        <f t="shared" si="42"/>
        <v/>
      </c>
      <c r="V214" s="204" t="str">
        <f t="shared" si="43"/>
        <v/>
      </c>
      <c r="W214" s="204" t="str">
        <f t="shared" si="41"/>
        <v/>
      </c>
      <c r="X214" s="204" t="str">
        <f t="shared" si="44"/>
        <v/>
      </c>
      <c r="Y214" s="204" t="str">
        <f t="shared" si="44"/>
        <v xml:space="preserve">  </v>
      </c>
      <c r="Z214" s="204" t="str">
        <f t="shared" si="44"/>
        <v xml:space="preserve">  </v>
      </c>
      <c r="AA214" s="204" t="str">
        <f t="shared" si="34"/>
        <v xml:space="preserve">  </v>
      </c>
      <c r="AB214" s="204" t="str">
        <f t="shared" si="34"/>
        <v xml:space="preserve">  </v>
      </c>
      <c r="AC214" s="204" t="str">
        <f t="shared" si="34"/>
        <v/>
      </c>
    </row>
    <row r="215" spans="1:29" x14ac:dyDescent="0.3">
      <c r="A215" s="202">
        <v>41488</v>
      </c>
      <c r="B215" s="203">
        <f t="shared" si="36"/>
        <v>8</v>
      </c>
      <c r="C215" s="203">
        <f t="shared" si="37"/>
        <v>1</v>
      </c>
      <c r="D215" s="201">
        <f t="shared" si="38"/>
        <v>238.75469677419355</v>
      </c>
      <c r="E215" s="201">
        <f t="shared" si="39"/>
        <v>340.90005161290321</v>
      </c>
      <c r="F215" s="201">
        <f t="shared" si="40"/>
        <v>136.60934516129032</v>
      </c>
      <c r="G215" s="201">
        <f>SUM(D$2:D215)</f>
        <v>21136.760593548406</v>
      </c>
      <c r="H215" s="201">
        <f>SUM(E$2:E215)</f>
        <v>27833.261903225735</v>
      </c>
      <c r="I215" s="201">
        <f>SUM(F$2:F215)</f>
        <v>9376.3657674193564</v>
      </c>
      <c r="J215" s="201">
        <f>Model!F$51</f>
        <v>23678.322499999998</v>
      </c>
      <c r="K215" s="201">
        <f>Model!G$51</f>
        <v>26052.648000000005</v>
      </c>
      <c r="L215" s="201">
        <f>Model!H$51</f>
        <v>27478.056499999995</v>
      </c>
      <c r="M215" s="201">
        <f>Model!I$51</f>
        <v>28903.236999999997</v>
      </c>
      <c r="N215" s="201">
        <f>Model!J$51</f>
        <v>29853.18</v>
      </c>
      <c r="O215" s="201">
        <f>Model!K$51</f>
        <v>0</v>
      </c>
      <c r="P215" s="201">
        <f>Model!L$51</f>
        <v>0</v>
      </c>
      <c r="Q215" s="201">
        <f>Model!M$51</f>
        <v>0</v>
      </c>
      <c r="R215" s="201">
        <f>Model!N$51</f>
        <v>0</v>
      </c>
      <c r="S215" s="201">
        <f>Model!R$51</f>
        <v>25000</v>
      </c>
      <c r="T215" s="204" t="str">
        <f t="shared" si="41"/>
        <v/>
      </c>
      <c r="U215" s="204" t="str">
        <f t="shared" si="42"/>
        <v/>
      </c>
      <c r="V215" s="204" t="str">
        <f t="shared" si="43"/>
        <v/>
      </c>
      <c r="W215" s="204" t="str">
        <f t="shared" si="41"/>
        <v/>
      </c>
      <c r="X215" s="204" t="str">
        <f t="shared" si="44"/>
        <v/>
      </c>
      <c r="Y215" s="204" t="str">
        <f t="shared" si="44"/>
        <v xml:space="preserve">  </v>
      </c>
      <c r="Z215" s="204" t="str">
        <f t="shared" si="44"/>
        <v xml:space="preserve">  </v>
      </c>
      <c r="AA215" s="204" t="str">
        <f t="shared" si="34"/>
        <v xml:space="preserve">  </v>
      </c>
      <c r="AB215" s="204" t="str">
        <f t="shared" si="34"/>
        <v xml:space="preserve">  </v>
      </c>
      <c r="AC215" s="204" t="str">
        <f t="shared" si="34"/>
        <v/>
      </c>
    </row>
    <row r="216" spans="1:29" x14ac:dyDescent="0.3">
      <c r="A216" s="202">
        <v>41489</v>
      </c>
      <c r="B216" s="203">
        <f t="shared" si="36"/>
        <v>8</v>
      </c>
      <c r="C216" s="203">
        <f t="shared" si="37"/>
        <v>1</v>
      </c>
      <c r="D216" s="201">
        <f t="shared" si="38"/>
        <v>238.75469677419355</v>
      </c>
      <c r="E216" s="201">
        <f t="shared" si="39"/>
        <v>340.90005161290321</v>
      </c>
      <c r="F216" s="201">
        <f t="shared" si="40"/>
        <v>136.60934516129032</v>
      </c>
      <c r="G216" s="201">
        <f>SUM(D$2:D216)</f>
        <v>21375.515290322601</v>
      </c>
      <c r="H216" s="201">
        <f>SUM(E$2:E216)</f>
        <v>28174.161954838637</v>
      </c>
      <c r="I216" s="201">
        <f>SUM(F$2:F216)</f>
        <v>9512.975112580647</v>
      </c>
      <c r="J216" s="201">
        <f>Model!F$51</f>
        <v>23678.322499999998</v>
      </c>
      <c r="K216" s="201">
        <f>Model!G$51</f>
        <v>26052.648000000005</v>
      </c>
      <c r="L216" s="201">
        <f>Model!H$51</f>
        <v>27478.056499999995</v>
      </c>
      <c r="M216" s="201">
        <f>Model!I$51</f>
        <v>28903.236999999997</v>
      </c>
      <c r="N216" s="201">
        <f>Model!J$51</f>
        <v>29853.18</v>
      </c>
      <c r="O216" s="201">
        <f>Model!K$51</f>
        <v>0</v>
      </c>
      <c r="P216" s="201">
        <f>Model!L$51</f>
        <v>0</v>
      </c>
      <c r="Q216" s="201">
        <f>Model!M$51</f>
        <v>0</v>
      </c>
      <c r="R216" s="201">
        <f>Model!N$51</f>
        <v>0</v>
      </c>
      <c r="S216" s="201">
        <f>Model!R$51</f>
        <v>25000</v>
      </c>
      <c r="T216" s="204" t="str">
        <f t="shared" si="41"/>
        <v/>
      </c>
      <c r="U216" s="204" t="str">
        <f t="shared" si="42"/>
        <v/>
      </c>
      <c r="V216" s="204" t="str">
        <f t="shared" si="43"/>
        <v/>
      </c>
      <c r="W216" s="204" t="str">
        <f t="shared" si="41"/>
        <v/>
      </c>
      <c r="X216" s="204" t="str">
        <f t="shared" si="44"/>
        <v/>
      </c>
      <c r="Y216" s="204" t="str">
        <f t="shared" si="44"/>
        <v xml:space="preserve">  </v>
      </c>
      <c r="Z216" s="204" t="str">
        <f t="shared" si="44"/>
        <v xml:space="preserve">  </v>
      </c>
      <c r="AA216" s="204" t="str">
        <f t="shared" si="34"/>
        <v xml:space="preserve">  </v>
      </c>
      <c r="AB216" s="204" t="str">
        <f t="shared" si="34"/>
        <v xml:space="preserve">  </v>
      </c>
      <c r="AC216" s="204" t="str">
        <f t="shared" si="34"/>
        <v/>
      </c>
    </row>
    <row r="217" spans="1:29" x14ac:dyDescent="0.3">
      <c r="A217" s="202">
        <v>41490</v>
      </c>
      <c r="B217" s="203">
        <f t="shared" si="36"/>
        <v>8</v>
      </c>
      <c r="C217" s="203">
        <f t="shared" si="37"/>
        <v>1</v>
      </c>
      <c r="D217" s="201">
        <f t="shared" si="38"/>
        <v>238.75469677419355</v>
      </c>
      <c r="E217" s="201">
        <f t="shared" si="39"/>
        <v>340.90005161290321</v>
      </c>
      <c r="F217" s="201">
        <f t="shared" si="40"/>
        <v>136.60934516129032</v>
      </c>
      <c r="G217" s="201">
        <f>SUM(D$2:D217)</f>
        <v>21614.269987096795</v>
      </c>
      <c r="H217" s="201">
        <f>SUM(E$2:E217)</f>
        <v>28515.062006451539</v>
      </c>
      <c r="I217" s="201">
        <f>SUM(F$2:F217)</f>
        <v>9649.5844577419375</v>
      </c>
      <c r="J217" s="201">
        <f>Model!F$51</f>
        <v>23678.322499999998</v>
      </c>
      <c r="K217" s="201">
        <f>Model!G$51</f>
        <v>26052.648000000005</v>
      </c>
      <c r="L217" s="201">
        <f>Model!H$51</f>
        <v>27478.056499999995</v>
      </c>
      <c r="M217" s="201">
        <f>Model!I$51</f>
        <v>28903.236999999997</v>
      </c>
      <c r="N217" s="201">
        <f>Model!J$51</f>
        <v>29853.18</v>
      </c>
      <c r="O217" s="201">
        <f>Model!K$51</f>
        <v>0</v>
      </c>
      <c r="P217" s="201">
        <f>Model!L$51</f>
        <v>0</v>
      </c>
      <c r="Q217" s="201">
        <f>Model!M$51</f>
        <v>0</v>
      </c>
      <c r="R217" s="201">
        <f>Model!N$51</f>
        <v>0</v>
      </c>
      <c r="S217" s="201">
        <f>Model!R$51</f>
        <v>25000</v>
      </c>
      <c r="T217" s="204" t="str">
        <f t="shared" si="41"/>
        <v/>
      </c>
      <c r="U217" s="204" t="str">
        <f t="shared" si="42"/>
        <v/>
      </c>
      <c r="V217" s="204" t="str">
        <f t="shared" si="43"/>
        <v/>
      </c>
      <c r="W217" s="204" t="str">
        <f t="shared" si="41"/>
        <v/>
      </c>
      <c r="X217" s="204" t="str">
        <f t="shared" si="44"/>
        <v/>
      </c>
      <c r="Y217" s="204" t="str">
        <f t="shared" si="44"/>
        <v xml:space="preserve">  </v>
      </c>
      <c r="Z217" s="204" t="str">
        <f t="shared" si="44"/>
        <v xml:space="preserve">  </v>
      </c>
      <c r="AA217" s="204" t="str">
        <f t="shared" si="34"/>
        <v xml:space="preserve">  </v>
      </c>
      <c r="AB217" s="204" t="str">
        <f t="shared" si="34"/>
        <v xml:space="preserve">  </v>
      </c>
      <c r="AC217" s="204" t="str">
        <f t="shared" si="34"/>
        <v/>
      </c>
    </row>
    <row r="218" spans="1:29" x14ac:dyDescent="0.3">
      <c r="A218" s="202">
        <v>41491</v>
      </c>
      <c r="B218" s="203">
        <f t="shared" si="36"/>
        <v>8</v>
      </c>
      <c r="C218" s="203">
        <f t="shared" si="37"/>
        <v>1</v>
      </c>
      <c r="D218" s="201">
        <f t="shared" si="38"/>
        <v>238.75469677419355</v>
      </c>
      <c r="E218" s="201">
        <f t="shared" si="39"/>
        <v>340.90005161290321</v>
      </c>
      <c r="F218" s="201">
        <f t="shared" si="40"/>
        <v>136.60934516129032</v>
      </c>
      <c r="G218" s="201">
        <f>SUM(D$2:D218)</f>
        <v>21853.02468387099</v>
      </c>
      <c r="H218" s="201">
        <f>SUM(E$2:E218)</f>
        <v>28855.96205806444</v>
      </c>
      <c r="I218" s="201">
        <f>SUM(F$2:F218)</f>
        <v>9786.1938029032281</v>
      </c>
      <c r="J218" s="201">
        <f>Model!F$51</f>
        <v>23678.322499999998</v>
      </c>
      <c r="K218" s="201">
        <f>Model!G$51</f>
        <v>26052.648000000005</v>
      </c>
      <c r="L218" s="201">
        <f>Model!H$51</f>
        <v>27478.056499999995</v>
      </c>
      <c r="M218" s="201">
        <f>Model!I$51</f>
        <v>28903.236999999997</v>
      </c>
      <c r="N218" s="201">
        <f>Model!J$51</f>
        <v>29853.18</v>
      </c>
      <c r="O218" s="201">
        <f>Model!K$51</f>
        <v>0</v>
      </c>
      <c r="P218" s="201">
        <f>Model!L$51</f>
        <v>0</v>
      </c>
      <c r="Q218" s="201">
        <f>Model!M$51</f>
        <v>0</v>
      </c>
      <c r="R218" s="201">
        <f>Model!N$51</f>
        <v>0</v>
      </c>
      <c r="S218" s="201">
        <f>Model!R$51</f>
        <v>25000</v>
      </c>
      <c r="T218" s="204" t="str">
        <f t="shared" si="41"/>
        <v/>
      </c>
      <c r="U218" s="204" t="str">
        <f t="shared" si="42"/>
        <v/>
      </c>
      <c r="V218" s="204" t="str">
        <f t="shared" si="43"/>
        <v/>
      </c>
      <c r="W218" s="204" t="str">
        <f t="shared" si="41"/>
        <v/>
      </c>
      <c r="X218" s="204" t="str">
        <f t="shared" si="44"/>
        <v/>
      </c>
      <c r="Y218" s="204" t="str">
        <f t="shared" si="44"/>
        <v xml:space="preserve">  </v>
      </c>
      <c r="Z218" s="204" t="str">
        <f t="shared" si="44"/>
        <v xml:space="preserve">  </v>
      </c>
      <c r="AA218" s="204" t="str">
        <f t="shared" si="34"/>
        <v xml:space="preserve">  </v>
      </c>
      <c r="AB218" s="204" t="str">
        <f t="shared" si="34"/>
        <v xml:space="preserve">  </v>
      </c>
      <c r="AC218" s="204" t="str">
        <f t="shared" si="34"/>
        <v/>
      </c>
    </row>
    <row r="219" spans="1:29" x14ac:dyDescent="0.3">
      <c r="A219" s="202">
        <v>41492</v>
      </c>
      <c r="B219" s="203">
        <f t="shared" si="36"/>
        <v>8</v>
      </c>
      <c r="C219" s="203">
        <f t="shared" si="37"/>
        <v>1</v>
      </c>
      <c r="D219" s="201">
        <f t="shared" si="38"/>
        <v>238.75469677419355</v>
      </c>
      <c r="E219" s="201">
        <f t="shared" si="39"/>
        <v>340.90005161290321</v>
      </c>
      <c r="F219" s="201">
        <f t="shared" si="40"/>
        <v>136.60934516129032</v>
      </c>
      <c r="G219" s="201">
        <f>SUM(D$2:D219)</f>
        <v>22091.779380645185</v>
      </c>
      <c r="H219" s="201">
        <f>SUM(E$2:E219)</f>
        <v>29196.862109677342</v>
      </c>
      <c r="I219" s="201">
        <f>SUM(F$2:F219)</f>
        <v>9922.8031480645186</v>
      </c>
      <c r="J219" s="201">
        <f>Model!F$51</f>
        <v>23678.322499999998</v>
      </c>
      <c r="K219" s="201">
        <f>Model!G$51</f>
        <v>26052.648000000005</v>
      </c>
      <c r="L219" s="201">
        <f>Model!H$51</f>
        <v>27478.056499999995</v>
      </c>
      <c r="M219" s="201">
        <f>Model!I$51</f>
        <v>28903.236999999997</v>
      </c>
      <c r="N219" s="201">
        <f>Model!J$51</f>
        <v>29853.18</v>
      </c>
      <c r="O219" s="201">
        <f>Model!K$51</f>
        <v>0</v>
      </c>
      <c r="P219" s="201">
        <f>Model!L$51</f>
        <v>0</v>
      </c>
      <c r="Q219" s="201">
        <f>Model!M$51</f>
        <v>0</v>
      </c>
      <c r="R219" s="201">
        <f>Model!N$51</f>
        <v>0</v>
      </c>
      <c r="S219" s="201">
        <f>Model!R$51</f>
        <v>25000</v>
      </c>
      <c r="T219" s="204" t="str">
        <f t="shared" si="41"/>
        <v/>
      </c>
      <c r="U219" s="204" t="str">
        <f t="shared" si="42"/>
        <v/>
      </c>
      <c r="V219" s="204" t="str">
        <f t="shared" si="43"/>
        <v/>
      </c>
      <c r="W219" s="204" t="str">
        <f t="shared" si="41"/>
        <v/>
      </c>
      <c r="X219" s="204" t="str">
        <f t="shared" si="44"/>
        <v/>
      </c>
      <c r="Y219" s="204" t="str">
        <f t="shared" si="44"/>
        <v xml:space="preserve">  </v>
      </c>
      <c r="Z219" s="204" t="str">
        <f t="shared" si="44"/>
        <v xml:space="preserve">  </v>
      </c>
      <c r="AA219" s="204" t="str">
        <f t="shared" si="34"/>
        <v xml:space="preserve">  </v>
      </c>
      <c r="AB219" s="204" t="str">
        <f t="shared" si="34"/>
        <v xml:space="preserve">  </v>
      </c>
      <c r="AC219" s="204" t="str">
        <f t="shared" si="34"/>
        <v/>
      </c>
    </row>
    <row r="220" spans="1:29" x14ac:dyDescent="0.3">
      <c r="A220" s="202">
        <v>41493</v>
      </c>
      <c r="B220" s="203">
        <f t="shared" si="36"/>
        <v>8</v>
      </c>
      <c r="C220" s="203">
        <f t="shared" si="37"/>
        <v>1</v>
      </c>
      <c r="D220" s="201">
        <f t="shared" si="38"/>
        <v>238.75469677419355</v>
      </c>
      <c r="E220" s="201">
        <f t="shared" si="39"/>
        <v>340.90005161290321</v>
      </c>
      <c r="F220" s="201">
        <f t="shared" si="40"/>
        <v>136.60934516129032</v>
      </c>
      <c r="G220" s="201">
        <f>SUM(D$2:D220)</f>
        <v>22330.534077419379</v>
      </c>
      <c r="H220" s="201">
        <f>SUM(E$2:E220)</f>
        <v>29537.762161290244</v>
      </c>
      <c r="I220" s="201">
        <f>SUM(F$2:F220)</f>
        <v>10059.412493225809</v>
      </c>
      <c r="J220" s="201">
        <f>Model!F$51</f>
        <v>23678.322499999998</v>
      </c>
      <c r="K220" s="201">
        <f>Model!G$51</f>
        <v>26052.648000000005</v>
      </c>
      <c r="L220" s="201">
        <f>Model!H$51</f>
        <v>27478.056499999995</v>
      </c>
      <c r="M220" s="201">
        <f>Model!I$51</f>
        <v>28903.236999999997</v>
      </c>
      <c r="N220" s="201">
        <f>Model!J$51</f>
        <v>29853.18</v>
      </c>
      <c r="O220" s="201">
        <f>Model!K$51</f>
        <v>0</v>
      </c>
      <c r="P220" s="201">
        <f>Model!L$51</f>
        <v>0</v>
      </c>
      <c r="Q220" s="201">
        <f>Model!M$51</f>
        <v>0</v>
      </c>
      <c r="R220" s="201">
        <f>Model!N$51</f>
        <v>0</v>
      </c>
      <c r="S220" s="201">
        <f>Model!R$51</f>
        <v>25000</v>
      </c>
      <c r="T220" s="204" t="str">
        <f t="shared" si="41"/>
        <v/>
      </c>
      <c r="U220" s="204" t="str">
        <f t="shared" si="42"/>
        <v/>
      </c>
      <c r="V220" s="204" t="str">
        <f t="shared" si="43"/>
        <v/>
      </c>
      <c r="W220" s="204" t="str">
        <f t="shared" si="41"/>
        <v/>
      </c>
      <c r="X220" s="204" t="str">
        <f t="shared" si="44"/>
        <v/>
      </c>
      <c r="Y220" s="204" t="str">
        <f t="shared" si="44"/>
        <v xml:space="preserve">  </v>
      </c>
      <c r="Z220" s="204" t="str">
        <f t="shared" si="44"/>
        <v xml:space="preserve">  </v>
      </c>
      <c r="AA220" s="204" t="str">
        <f t="shared" si="34"/>
        <v xml:space="preserve">  </v>
      </c>
      <c r="AB220" s="204" t="str">
        <f t="shared" si="34"/>
        <v xml:space="preserve">  </v>
      </c>
      <c r="AC220" s="204" t="str">
        <f t="shared" si="34"/>
        <v/>
      </c>
    </row>
    <row r="221" spans="1:29" x14ac:dyDescent="0.3">
      <c r="A221" s="202">
        <v>41494</v>
      </c>
      <c r="B221" s="203">
        <f t="shared" si="36"/>
        <v>8</v>
      </c>
      <c r="C221" s="203">
        <f t="shared" si="37"/>
        <v>1</v>
      </c>
      <c r="D221" s="201">
        <f t="shared" si="38"/>
        <v>238.75469677419355</v>
      </c>
      <c r="E221" s="201">
        <f t="shared" si="39"/>
        <v>340.90005161290321</v>
      </c>
      <c r="F221" s="201">
        <f t="shared" si="40"/>
        <v>136.60934516129032</v>
      </c>
      <c r="G221" s="201">
        <f>SUM(D$2:D221)</f>
        <v>22569.288774193574</v>
      </c>
      <c r="H221" s="201">
        <f>SUM(E$2:E221)</f>
        <v>29878.662212903146</v>
      </c>
      <c r="I221" s="201">
        <f>SUM(F$2:F221)</f>
        <v>10196.0218383871</v>
      </c>
      <c r="J221" s="201">
        <f>Model!F$51</f>
        <v>23678.322499999998</v>
      </c>
      <c r="K221" s="201">
        <f>Model!G$51</f>
        <v>26052.648000000005</v>
      </c>
      <c r="L221" s="201">
        <f>Model!H$51</f>
        <v>27478.056499999995</v>
      </c>
      <c r="M221" s="201">
        <f>Model!I$51</f>
        <v>28903.236999999997</v>
      </c>
      <c r="N221" s="201">
        <f>Model!J$51</f>
        <v>29853.18</v>
      </c>
      <c r="O221" s="201">
        <f>Model!K$51</f>
        <v>0</v>
      </c>
      <c r="P221" s="201">
        <f>Model!L$51</f>
        <v>0</v>
      </c>
      <c r="Q221" s="201">
        <f>Model!M$51</f>
        <v>0</v>
      </c>
      <c r="R221" s="201">
        <f>Model!N$51</f>
        <v>0</v>
      </c>
      <c r="S221" s="201">
        <f>Model!R$51</f>
        <v>25000</v>
      </c>
      <c r="T221" s="204" t="str">
        <f t="shared" si="41"/>
        <v/>
      </c>
      <c r="U221" s="204" t="str">
        <f t="shared" si="42"/>
        <v/>
      </c>
      <c r="V221" s="204" t="str">
        <f t="shared" si="43"/>
        <v/>
      </c>
      <c r="W221" s="204" t="str">
        <f t="shared" si="41"/>
        <v/>
      </c>
      <c r="X221" s="204" t="str">
        <f t="shared" si="44"/>
        <v/>
      </c>
      <c r="Y221" s="204" t="str">
        <f t="shared" si="44"/>
        <v xml:space="preserve">  </v>
      </c>
      <c r="Z221" s="204" t="str">
        <f t="shared" si="44"/>
        <v xml:space="preserve">  </v>
      </c>
      <c r="AA221" s="204" t="str">
        <f t="shared" si="34"/>
        <v xml:space="preserve">  </v>
      </c>
      <c r="AB221" s="204" t="str">
        <f t="shared" si="34"/>
        <v xml:space="preserve">  </v>
      </c>
      <c r="AC221" s="204" t="str">
        <f t="shared" si="34"/>
        <v/>
      </c>
    </row>
    <row r="222" spans="1:29" x14ac:dyDescent="0.3">
      <c r="A222" s="202">
        <v>41495</v>
      </c>
      <c r="B222" s="203">
        <f t="shared" si="36"/>
        <v>8</v>
      </c>
      <c r="C222" s="203">
        <f t="shared" si="37"/>
        <v>1</v>
      </c>
      <c r="D222" s="201">
        <f t="shared" si="38"/>
        <v>238.75469677419355</v>
      </c>
      <c r="E222" s="201">
        <f t="shared" si="39"/>
        <v>340.90005161290321</v>
      </c>
      <c r="F222" s="201">
        <f t="shared" si="40"/>
        <v>136.60934516129032</v>
      </c>
      <c r="G222" s="201">
        <f>SUM(D$2:D222)</f>
        <v>22808.043470967768</v>
      </c>
      <c r="H222" s="201">
        <f>SUM(E$2:E222)</f>
        <v>30219.562264516047</v>
      </c>
      <c r="I222" s="201">
        <f>SUM(F$2:F222)</f>
        <v>10332.63118354839</v>
      </c>
      <c r="J222" s="201">
        <f>Model!F$51</f>
        <v>23678.322499999998</v>
      </c>
      <c r="K222" s="201">
        <f>Model!G$51</f>
        <v>26052.648000000005</v>
      </c>
      <c r="L222" s="201">
        <f>Model!H$51</f>
        <v>27478.056499999995</v>
      </c>
      <c r="M222" s="201">
        <f>Model!I$51</f>
        <v>28903.236999999997</v>
      </c>
      <c r="N222" s="201">
        <f>Model!J$51</f>
        <v>29853.18</v>
      </c>
      <c r="O222" s="201">
        <f>Model!K$51</f>
        <v>0</v>
      </c>
      <c r="P222" s="201">
        <f>Model!L$51</f>
        <v>0</v>
      </c>
      <c r="Q222" s="201">
        <f>Model!M$51</f>
        <v>0</v>
      </c>
      <c r="R222" s="201">
        <f>Model!N$51</f>
        <v>0</v>
      </c>
      <c r="S222" s="201">
        <f>Model!R$51</f>
        <v>25000</v>
      </c>
      <c r="T222" s="204" t="str">
        <f t="shared" si="41"/>
        <v/>
      </c>
      <c r="U222" s="204" t="str">
        <f t="shared" si="42"/>
        <v/>
      </c>
      <c r="V222" s="204" t="str">
        <f t="shared" si="43"/>
        <v/>
      </c>
      <c r="W222" s="204" t="str">
        <f t="shared" si="41"/>
        <v/>
      </c>
      <c r="X222" s="204" t="str">
        <f t="shared" si="44"/>
        <v/>
      </c>
      <c r="Y222" s="204" t="str">
        <f t="shared" si="44"/>
        <v xml:space="preserve">  </v>
      </c>
      <c r="Z222" s="204" t="str">
        <f t="shared" si="44"/>
        <v xml:space="preserve">  </v>
      </c>
      <c r="AA222" s="204" t="str">
        <f t="shared" si="34"/>
        <v xml:space="preserve">  </v>
      </c>
      <c r="AB222" s="204" t="str">
        <f t="shared" si="34"/>
        <v xml:space="preserve">  </v>
      </c>
      <c r="AC222" s="204" t="str">
        <f t="shared" si="34"/>
        <v/>
      </c>
    </row>
    <row r="223" spans="1:29" x14ac:dyDescent="0.3">
      <c r="A223" s="202">
        <v>41496</v>
      </c>
      <c r="B223" s="203">
        <f t="shared" si="36"/>
        <v>8</v>
      </c>
      <c r="C223" s="203">
        <f t="shared" si="37"/>
        <v>1</v>
      </c>
      <c r="D223" s="201">
        <f t="shared" si="38"/>
        <v>238.75469677419355</v>
      </c>
      <c r="E223" s="201">
        <f t="shared" si="39"/>
        <v>340.90005161290321</v>
      </c>
      <c r="F223" s="201">
        <f t="shared" si="40"/>
        <v>136.60934516129032</v>
      </c>
      <c r="G223" s="201">
        <f>SUM(D$2:D223)</f>
        <v>23046.798167741963</v>
      </c>
      <c r="H223" s="201">
        <f>SUM(E$2:E223)</f>
        <v>30560.462316128949</v>
      </c>
      <c r="I223" s="201">
        <f>SUM(F$2:F223)</f>
        <v>10469.240528709681</v>
      </c>
      <c r="J223" s="201">
        <f>Model!F$51</f>
        <v>23678.322499999998</v>
      </c>
      <c r="K223" s="201">
        <f>Model!G$51</f>
        <v>26052.648000000005</v>
      </c>
      <c r="L223" s="201">
        <f>Model!H$51</f>
        <v>27478.056499999995</v>
      </c>
      <c r="M223" s="201">
        <f>Model!I$51</f>
        <v>28903.236999999997</v>
      </c>
      <c r="N223" s="201">
        <f>Model!J$51</f>
        <v>29853.18</v>
      </c>
      <c r="O223" s="201">
        <f>Model!K$51</f>
        <v>0</v>
      </c>
      <c r="P223" s="201">
        <f>Model!L$51</f>
        <v>0</v>
      </c>
      <c r="Q223" s="201">
        <f>Model!M$51</f>
        <v>0</v>
      </c>
      <c r="R223" s="201">
        <f>Model!N$51</f>
        <v>0</v>
      </c>
      <c r="S223" s="201">
        <f>Model!R$51</f>
        <v>25000</v>
      </c>
      <c r="T223" s="204" t="str">
        <f t="shared" si="41"/>
        <v/>
      </c>
      <c r="U223" s="204" t="str">
        <f t="shared" si="42"/>
        <v/>
      </c>
      <c r="V223" s="204" t="str">
        <f t="shared" si="43"/>
        <v/>
      </c>
      <c r="W223" s="204" t="str">
        <f t="shared" si="41"/>
        <v/>
      </c>
      <c r="X223" s="204" t="str">
        <f t="shared" si="44"/>
        <v/>
      </c>
      <c r="Y223" s="204" t="str">
        <f t="shared" si="44"/>
        <v xml:space="preserve">  </v>
      </c>
      <c r="Z223" s="204" t="str">
        <f t="shared" si="44"/>
        <v xml:space="preserve">  </v>
      </c>
      <c r="AA223" s="204" t="str">
        <f t="shared" si="34"/>
        <v xml:space="preserve">  </v>
      </c>
      <c r="AB223" s="204" t="str">
        <f t="shared" si="34"/>
        <v xml:space="preserve">  </v>
      </c>
      <c r="AC223" s="204" t="str">
        <f t="shared" si="34"/>
        <v/>
      </c>
    </row>
    <row r="224" spans="1:29" x14ac:dyDescent="0.3">
      <c r="A224" s="202">
        <v>41497</v>
      </c>
      <c r="B224" s="203">
        <f t="shared" si="36"/>
        <v>8</v>
      </c>
      <c r="C224" s="203">
        <f t="shared" si="37"/>
        <v>1</v>
      </c>
      <c r="D224" s="201">
        <f t="shared" si="38"/>
        <v>238.75469677419355</v>
      </c>
      <c r="E224" s="201">
        <f t="shared" si="39"/>
        <v>340.90005161290321</v>
      </c>
      <c r="F224" s="201">
        <f t="shared" si="40"/>
        <v>136.60934516129032</v>
      </c>
      <c r="G224" s="201">
        <f>SUM(D$2:D224)</f>
        <v>23285.552864516158</v>
      </c>
      <c r="H224" s="201">
        <f>SUM(E$2:E224)</f>
        <v>30901.362367741851</v>
      </c>
      <c r="I224" s="201">
        <f>SUM(F$2:F224)</f>
        <v>10605.849873870971</v>
      </c>
      <c r="J224" s="201">
        <f>Model!F$51</f>
        <v>23678.322499999998</v>
      </c>
      <c r="K224" s="201">
        <f>Model!G$51</f>
        <v>26052.648000000005</v>
      </c>
      <c r="L224" s="201">
        <f>Model!H$51</f>
        <v>27478.056499999995</v>
      </c>
      <c r="M224" s="201">
        <f>Model!I$51</f>
        <v>28903.236999999997</v>
      </c>
      <c r="N224" s="201">
        <f>Model!J$51</f>
        <v>29853.18</v>
      </c>
      <c r="O224" s="201">
        <f>Model!K$51</f>
        <v>0</v>
      </c>
      <c r="P224" s="201">
        <f>Model!L$51</f>
        <v>0</v>
      </c>
      <c r="Q224" s="201">
        <f>Model!M$51</f>
        <v>0</v>
      </c>
      <c r="R224" s="201">
        <f>Model!N$51</f>
        <v>0</v>
      </c>
      <c r="S224" s="201">
        <f>Model!R$51</f>
        <v>25000</v>
      </c>
      <c r="T224" s="204" t="str">
        <f t="shared" si="41"/>
        <v/>
      </c>
      <c r="U224" s="204" t="str">
        <f t="shared" si="42"/>
        <v/>
      </c>
      <c r="V224" s="204" t="str">
        <f t="shared" si="43"/>
        <v/>
      </c>
      <c r="W224" s="204" t="str">
        <f t="shared" si="41"/>
        <v/>
      </c>
      <c r="X224" s="204" t="str">
        <f t="shared" si="44"/>
        <v/>
      </c>
      <c r="Y224" s="204" t="str">
        <f t="shared" si="44"/>
        <v xml:space="preserve">  </v>
      </c>
      <c r="Z224" s="204" t="str">
        <f t="shared" si="44"/>
        <v xml:space="preserve">  </v>
      </c>
      <c r="AA224" s="204" t="str">
        <f t="shared" si="34"/>
        <v xml:space="preserve">  </v>
      </c>
      <c r="AB224" s="204" t="str">
        <f t="shared" si="34"/>
        <v xml:space="preserve">  </v>
      </c>
      <c r="AC224" s="204" t="str">
        <f t="shared" si="34"/>
        <v/>
      </c>
    </row>
    <row r="225" spans="1:29" x14ac:dyDescent="0.3">
      <c r="A225" s="202">
        <v>41498</v>
      </c>
      <c r="B225" s="203">
        <f t="shared" si="36"/>
        <v>8</v>
      </c>
      <c r="C225" s="203">
        <f t="shared" si="37"/>
        <v>1</v>
      </c>
      <c r="D225" s="201">
        <f t="shared" si="38"/>
        <v>238.75469677419355</v>
      </c>
      <c r="E225" s="201">
        <f t="shared" si="39"/>
        <v>340.90005161290321</v>
      </c>
      <c r="F225" s="201">
        <f t="shared" si="40"/>
        <v>136.60934516129032</v>
      </c>
      <c r="G225" s="201">
        <f>SUM(D$2:D225)</f>
        <v>23524.307561290352</v>
      </c>
      <c r="H225" s="201">
        <f>SUM(E$2:E225)</f>
        <v>31242.262419354753</v>
      </c>
      <c r="I225" s="201">
        <f>SUM(F$2:F225)</f>
        <v>10742.459219032262</v>
      </c>
      <c r="J225" s="201">
        <f>Model!F$51</f>
        <v>23678.322499999998</v>
      </c>
      <c r="K225" s="201">
        <f>Model!G$51</f>
        <v>26052.648000000005</v>
      </c>
      <c r="L225" s="201">
        <f>Model!H$51</f>
        <v>27478.056499999995</v>
      </c>
      <c r="M225" s="201">
        <f>Model!I$51</f>
        <v>28903.236999999997</v>
      </c>
      <c r="N225" s="201">
        <f>Model!J$51</f>
        <v>29853.18</v>
      </c>
      <c r="O225" s="201">
        <f>Model!K$51</f>
        <v>0</v>
      </c>
      <c r="P225" s="201">
        <f>Model!L$51</f>
        <v>0</v>
      </c>
      <c r="Q225" s="201">
        <f>Model!M$51</f>
        <v>0</v>
      </c>
      <c r="R225" s="201">
        <f>Model!N$51</f>
        <v>0</v>
      </c>
      <c r="S225" s="201">
        <f>Model!R$51</f>
        <v>25000</v>
      </c>
      <c r="T225" s="204" t="str">
        <f t="shared" si="41"/>
        <v/>
      </c>
      <c r="U225" s="204" t="str">
        <f t="shared" si="42"/>
        <v/>
      </c>
      <c r="V225" s="204" t="str">
        <f t="shared" si="43"/>
        <v/>
      </c>
      <c r="W225" s="204" t="str">
        <f t="shared" si="41"/>
        <v/>
      </c>
      <c r="X225" s="204" t="str">
        <f t="shared" si="44"/>
        <v/>
      </c>
      <c r="Y225" s="204" t="str">
        <f t="shared" si="44"/>
        <v xml:space="preserve">  </v>
      </c>
      <c r="Z225" s="204" t="str">
        <f t="shared" si="44"/>
        <v xml:space="preserve">  </v>
      </c>
      <c r="AA225" s="204" t="str">
        <f t="shared" si="34"/>
        <v xml:space="preserve">  </v>
      </c>
      <c r="AB225" s="204" t="str">
        <f t="shared" si="34"/>
        <v xml:space="preserve">  </v>
      </c>
      <c r="AC225" s="204" t="str">
        <f t="shared" si="34"/>
        <v/>
      </c>
    </row>
    <row r="226" spans="1:29" x14ac:dyDescent="0.3">
      <c r="A226" s="202">
        <v>41499</v>
      </c>
      <c r="B226" s="203">
        <f t="shared" si="36"/>
        <v>8</v>
      </c>
      <c r="C226" s="203">
        <f t="shared" si="37"/>
        <v>1</v>
      </c>
      <c r="D226" s="201">
        <f t="shared" si="38"/>
        <v>238.75469677419355</v>
      </c>
      <c r="E226" s="201">
        <f t="shared" si="39"/>
        <v>340.90005161290321</v>
      </c>
      <c r="F226" s="201">
        <f t="shared" si="40"/>
        <v>136.60934516129032</v>
      </c>
      <c r="G226" s="201">
        <f>SUM(D$2:D226)</f>
        <v>23763.062258064547</v>
      </c>
      <c r="H226" s="201">
        <f>SUM(E$2:E226)</f>
        <v>31583.162470967654</v>
      </c>
      <c r="I226" s="201">
        <f>SUM(F$2:F226)</f>
        <v>10879.068564193552</v>
      </c>
      <c r="J226" s="201">
        <f>Model!F$51</f>
        <v>23678.322499999998</v>
      </c>
      <c r="K226" s="201">
        <f>Model!G$51</f>
        <v>26052.648000000005</v>
      </c>
      <c r="L226" s="201">
        <f>Model!H$51</f>
        <v>27478.056499999995</v>
      </c>
      <c r="M226" s="201">
        <f>Model!I$51</f>
        <v>28903.236999999997</v>
      </c>
      <c r="N226" s="201">
        <f>Model!J$51</f>
        <v>29853.18</v>
      </c>
      <c r="O226" s="201">
        <f>Model!K$51</f>
        <v>0</v>
      </c>
      <c r="P226" s="201">
        <f>Model!L$51</f>
        <v>0</v>
      </c>
      <c r="Q226" s="201">
        <f>Model!M$51</f>
        <v>0</v>
      </c>
      <c r="R226" s="201">
        <f>Model!N$51</f>
        <v>0</v>
      </c>
      <c r="S226" s="201">
        <f>Model!R$51</f>
        <v>25000</v>
      </c>
      <c r="T226" s="204">
        <f t="shared" si="41"/>
        <v>41499</v>
      </c>
      <c r="U226" s="204" t="str">
        <f t="shared" si="42"/>
        <v/>
      </c>
      <c r="V226" s="204" t="str">
        <f t="shared" si="43"/>
        <v/>
      </c>
      <c r="W226" s="204" t="str">
        <f t="shared" si="41"/>
        <v/>
      </c>
      <c r="X226" s="204" t="str">
        <f t="shared" si="44"/>
        <v/>
      </c>
      <c r="Y226" s="204" t="str">
        <f t="shared" si="44"/>
        <v xml:space="preserve">  </v>
      </c>
      <c r="Z226" s="204" t="str">
        <f t="shared" si="44"/>
        <v xml:space="preserve">  </v>
      </c>
      <c r="AA226" s="204" t="str">
        <f t="shared" si="34"/>
        <v xml:space="preserve">  </v>
      </c>
      <c r="AB226" s="204" t="str">
        <f t="shared" si="34"/>
        <v xml:space="preserve">  </v>
      </c>
      <c r="AC226" s="204" t="str">
        <f t="shared" si="34"/>
        <v/>
      </c>
    </row>
    <row r="227" spans="1:29" x14ac:dyDescent="0.3">
      <c r="A227" s="202">
        <v>41500</v>
      </c>
      <c r="B227" s="203">
        <f t="shared" si="36"/>
        <v>8</v>
      </c>
      <c r="C227" s="203">
        <f t="shared" si="37"/>
        <v>1</v>
      </c>
      <c r="D227" s="201">
        <f t="shared" si="38"/>
        <v>238.75469677419355</v>
      </c>
      <c r="E227" s="201">
        <f t="shared" si="39"/>
        <v>340.90005161290321</v>
      </c>
      <c r="F227" s="201">
        <f t="shared" si="40"/>
        <v>136.60934516129032</v>
      </c>
      <c r="G227" s="201">
        <f>SUM(D$2:D227)</f>
        <v>24001.816954838741</v>
      </c>
      <c r="H227" s="201">
        <f>SUM(E$2:E227)</f>
        <v>31924.062522580556</v>
      </c>
      <c r="I227" s="201">
        <f>SUM(F$2:F227)</f>
        <v>11015.677909354843</v>
      </c>
      <c r="J227" s="201">
        <f>Model!F$51</f>
        <v>23678.322499999998</v>
      </c>
      <c r="K227" s="201">
        <f>Model!G$51</f>
        <v>26052.648000000005</v>
      </c>
      <c r="L227" s="201">
        <f>Model!H$51</f>
        <v>27478.056499999995</v>
      </c>
      <c r="M227" s="201">
        <f>Model!I$51</f>
        <v>28903.236999999997</v>
      </c>
      <c r="N227" s="201">
        <f>Model!J$51</f>
        <v>29853.18</v>
      </c>
      <c r="O227" s="201">
        <f>Model!K$51</f>
        <v>0</v>
      </c>
      <c r="P227" s="201">
        <f>Model!L$51</f>
        <v>0</v>
      </c>
      <c r="Q227" s="201">
        <f>Model!M$51</f>
        <v>0</v>
      </c>
      <c r="R227" s="201">
        <f>Model!N$51</f>
        <v>0</v>
      </c>
      <c r="S227" s="201">
        <f>Model!R$51</f>
        <v>25000</v>
      </c>
      <c r="T227" s="204" t="str">
        <f t="shared" si="41"/>
        <v xml:space="preserve">  </v>
      </c>
      <c r="U227" s="204" t="str">
        <f t="shared" si="42"/>
        <v/>
      </c>
      <c r="V227" s="204" t="str">
        <f t="shared" si="43"/>
        <v/>
      </c>
      <c r="W227" s="204" t="str">
        <f t="shared" si="41"/>
        <v/>
      </c>
      <c r="X227" s="204" t="str">
        <f t="shared" si="44"/>
        <v/>
      </c>
      <c r="Y227" s="204" t="str">
        <f t="shared" si="44"/>
        <v xml:space="preserve">  </v>
      </c>
      <c r="Z227" s="204" t="str">
        <f t="shared" si="44"/>
        <v xml:space="preserve">  </v>
      </c>
      <c r="AA227" s="204" t="str">
        <f t="shared" si="34"/>
        <v xml:space="preserve">  </v>
      </c>
      <c r="AB227" s="204" t="str">
        <f t="shared" si="34"/>
        <v xml:space="preserve">  </v>
      </c>
      <c r="AC227" s="204" t="str">
        <f t="shared" si="34"/>
        <v/>
      </c>
    </row>
    <row r="228" spans="1:29" x14ac:dyDescent="0.3">
      <c r="A228" s="202">
        <v>41501</v>
      </c>
      <c r="B228" s="203">
        <f t="shared" si="36"/>
        <v>8</v>
      </c>
      <c r="C228" s="203">
        <f t="shared" si="37"/>
        <v>1</v>
      </c>
      <c r="D228" s="201">
        <f t="shared" si="38"/>
        <v>238.75469677419355</v>
      </c>
      <c r="E228" s="201">
        <f t="shared" si="39"/>
        <v>340.90005161290321</v>
      </c>
      <c r="F228" s="201">
        <f t="shared" si="40"/>
        <v>136.60934516129032</v>
      </c>
      <c r="G228" s="201">
        <f>SUM(D$2:D228)</f>
        <v>24240.571651612936</v>
      </c>
      <c r="H228" s="201">
        <f>SUM(E$2:E228)</f>
        <v>32264.962574193458</v>
      </c>
      <c r="I228" s="201">
        <f>SUM(F$2:F228)</f>
        <v>11152.287254516134</v>
      </c>
      <c r="J228" s="201">
        <f>Model!F$51</f>
        <v>23678.322499999998</v>
      </c>
      <c r="K228" s="201">
        <f>Model!G$51</f>
        <v>26052.648000000005</v>
      </c>
      <c r="L228" s="201">
        <f>Model!H$51</f>
        <v>27478.056499999995</v>
      </c>
      <c r="M228" s="201">
        <f>Model!I$51</f>
        <v>28903.236999999997</v>
      </c>
      <c r="N228" s="201">
        <f>Model!J$51</f>
        <v>29853.18</v>
      </c>
      <c r="O228" s="201">
        <f>Model!K$51</f>
        <v>0</v>
      </c>
      <c r="P228" s="201">
        <f>Model!L$51</f>
        <v>0</v>
      </c>
      <c r="Q228" s="201">
        <f>Model!M$51</f>
        <v>0</v>
      </c>
      <c r="R228" s="201">
        <f>Model!N$51</f>
        <v>0</v>
      </c>
      <c r="S228" s="201">
        <f>Model!R$51</f>
        <v>25000</v>
      </c>
      <c r="T228" s="204" t="str">
        <f t="shared" si="41"/>
        <v xml:space="preserve">  </v>
      </c>
      <c r="U228" s="204" t="str">
        <f t="shared" si="42"/>
        <v/>
      </c>
      <c r="V228" s="204" t="str">
        <f t="shared" si="43"/>
        <v/>
      </c>
      <c r="W228" s="204" t="str">
        <f t="shared" si="41"/>
        <v/>
      </c>
      <c r="X228" s="204" t="str">
        <f t="shared" si="44"/>
        <v/>
      </c>
      <c r="Y228" s="204" t="str">
        <f t="shared" si="44"/>
        <v xml:space="preserve">  </v>
      </c>
      <c r="Z228" s="204" t="str">
        <f t="shared" si="44"/>
        <v xml:space="preserve">  </v>
      </c>
      <c r="AA228" s="204" t="str">
        <f t="shared" si="34"/>
        <v xml:space="preserve">  </v>
      </c>
      <c r="AB228" s="204" t="str">
        <f t="shared" si="34"/>
        <v xml:space="preserve">  </v>
      </c>
      <c r="AC228" s="204" t="str">
        <f t="shared" si="34"/>
        <v/>
      </c>
    </row>
    <row r="229" spans="1:29" x14ac:dyDescent="0.3">
      <c r="A229" s="202">
        <v>41502</v>
      </c>
      <c r="B229" s="203">
        <f t="shared" si="36"/>
        <v>8</v>
      </c>
      <c r="C229" s="203">
        <f t="shared" si="37"/>
        <v>1</v>
      </c>
      <c r="D229" s="201">
        <f t="shared" si="38"/>
        <v>238.75469677419355</v>
      </c>
      <c r="E229" s="201">
        <f t="shared" si="39"/>
        <v>340.90005161290321</v>
      </c>
      <c r="F229" s="201">
        <f t="shared" si="40"/>
        <v>136.60934516129032</v>
      </c>
      <c r="G229" s="201">
        <f>SUM(D$2:D229)</f>
        <v>24479.326348387131</v>
      </c>
      <c r="H229" s="201">
        <f>SUM(E$2:E229)</f>
        <v>32605.86262580636</v>
      </c>
      <c r="I229" s="201">
        <f>SUM(F$2:F229)</f>
        <v>11288.896599677424</v>
      </c>
      <c r="J229" s="201">
        <f>Model!F$51</f>
        <v>23678.322499999998</v>
      </c>
      <c r="K229" s="201">
        <f>Model!G$51</f>
        <v>26052.648000000005</v>
      </c>
      <c r="L229" s="201">
        <f>Model!H$51</f>
        <v>27478.056499999995</v>
      </c>
      <c r="M229" s="201">
        <f>Model!I$51</f>
        <v>28903.236999999997</v>
      </c>
      <c r="N229" s="201">
        <f>Model!J$51</f>
        <v>29853.18</v>
      </c>
      <c r="O229" s="201">
        <f>Model!K$51</f>
        <v>0</v>
      </c>
      <c r="P229" s="201">
        <f>Model!L$51</f>
        <v>0</v>
      </c>
      <c r="Q229" s="201">
        <f>Model!M$51</f>
        <v>0</v>
      </c>
      <c r="R229" s="201">
        <f>Model!N$51</f>
        <v>0</v>
      </c>
      <c r="S229" s="201">
        <f>Model!R$51</f>
        <v>25000</v>
      </c>
      <c r="T229" s="204" t="str">
        <f>IF(ISNUMBER(T228),"  ",IF(T228="  ","  ",IF($G229&gt;J229,$A229,"")))</f>
        <v xml:space="preserve">  </v>
      </c>
      <c r="U229" s="204" t="str">
        <f t="shared" si="42"/>
        <v/>
      </c>
      <c r="V229" s="204" t="str">
        <f t="shared" si="43"/>
        <v/>
      </c>
      <c r="W229" s="204" t="str">
        <f t="shared" si="41"/>
        <v/>
      </c>
      <c r="X229" s="204" t="str">
        <f t="shared" si="44"/>
        <v/>
      </c>
      <c r="Y229" s="204" t="str">
        <f t="shared" si="44"/>
        <v xml:space="preserve">  </v>
      </c>
      <c r="Z229" s="204" t="str">
        <f t="shared" si="44"/>
        <v xml:space="preserve">  </v>
      </c>
      <c r="AA229" s="204" t="str">
        <f t="shared" si="34"/>
        <v xml:space="preserve">  </v>
      </c>
      <c r="AB229" s="204" t="str">
        <f t="shared" si="34"/>
        <v xml:space="preserve">  </v>
      </c>
      <c r="AC229" s="204" t="str">
        <f t="shared" si="34"/>
        <v/>
      </c>
    </row>
    <row r="230" spans="1:29" x14ac:dyDescent="0.3">
      <c r="A230" s="202">
        <v>41503</v>
      </c>
      <c r="B230" s="203">
        <f t="shared" si="36"/>
        <v>8</v>
      </c>
      <c r="C230" s="203">
        <f t="shared" si="37"/>
        <v>1</v>
      </c>
      <c r="D230" s="201">
        <f t="shared" si="38"/>
        <v>238.75469677419355</v>
      </c>
      <c r="E230" s="201">
        <f t="shared" si="39"/>
        <v>340.90005161290321</v>
      </c>
      <c r="F230" s="201">
        <f t="shared" si="40"/>
        <v>136.60934516129032</v>
      </c>
      <c r="G230" s="201">
        <f>SUM(D$2:D230)</f>
        <v>24718.081045161325</v>
      </c>
      <c r="H230" s="201">
        <f>SUM(E$2:E230)</f>
        <v>32946.762677419261</v>
      </c>
      <c r="I230" s="201">
        <f>SUM(F$2:F230)</f>
        <v>11425.505944838715</v>
      </c>
      <c r="J230" s="201">
        <f>Model!F$51</f>
        <v>23678.322499999998</v>
      </c>
      <c r="K230" s="201">
        <f>Model!G$51</f>
        <v>26052.648000000005</v>
      </c>
      <c r="L230" s="201">
        <f>Model!H$51</f>
        <v>27478.056499999995</v>
      </c>
      <c r="M230" s="201">
        <f>Model!I$51</f>
        <v>28903.236999999997</v>
      </c>
      <c r="N230" s="201">
        <f>Model!J$51</f>
        <v>29853.18</v>
      </c>
      <c r="O230" s="201">
        <f>Model!K$51</f>
        <v>0</v>
      </c>
      <c r="P230" s="201">
        <f>Model!L$51</f>
        <v>0</v>
      </c>
      <c r="Q230" s="201">
        <f>Model!M$51</f>
        <v>0</v>
      </c>
      <c r="R230" s="201">
        <f>Model!N$51</f>
        <v>0</v>
      </c>
      <c r="S230" s="201">
        <f>Model!R$51</f>
        <v>25000</v>
      </c>
      <c r="T230" s="204" t="str">
        <f t="shared" si="41"/>
        <v xml:space="preserve">  </v>
      </c>
      <c r="U230" s="204" t="str">
        <f t="shared" si="42"/>
        <v/>
      </c>
      <c r="V230" s="204" t="str">
        <f t="shared" si="43"/>
        <v/>
      </c>
      <c r="W230" s="204" t="str">
        <f t="shared" si="41"/>
        <v/>
      </c>
      <c r="X230" s="204" t="str">
        <f t="shared" si="44"/>
        <v/>
      </c>
      <c r="Y230" s="204" t="str">
        <f t="shared" si="44"/>
        <v xml:space="preserve">  </v>
      </c>
      <c r="Z230" s="204" t="str">
        <f t="shared" si="44"/>
        <v xml:space="preserve">  </v>
      </c>
      <c r="AA230" s="204" t="str">
        <f t="shared" si="34"/>
        <v xml:space="preserve">  </v>
      </c>
      <c r="AB230" s="204" t="str">
        <f t="shared" si="34"/>
        <v xml:space="preserve">  </v>
      </c>
      <c r="AC230" s="204" t="str">
        <f t="shared" si="34"/>
        <v/>
      </c>
    </row>
    <row r="231" spans="1:29" x14ac:dyDescent="0.3">
      <c r="A231" s="202">
        <v>41504</v>
      </c>
      <c r="B231" s="203">
        <f t="shared" si="36"/>
        <v>8</v>
      </c>
      <c r="C231" s="203">
        <f t="shared" si="37"/>
        <v>1</v>
      </c>
      <c r="D231" s="201">
        <f t="shared" si="38"/>
        <v>238.75469677419355</v>
      </c>
      <c r="E231" s="201">
        <f t="shared" si="39"/>
        <v>340.90005161290321</v>
      </c>
      <c r="F231" s="201">
        <f t="shared" si="40"/>
        <v>136.60934516129032</v>
      </c>
      <c r="G231" s="201">
        <f>SUM(D$2:D231)</f>
        <v>24956.83574193552</v>
      </c>
      <c r="H231" s="201">
        <f>SUM(E$2:E231)</f>
        <v>33287.662729032163</v>
      </c>
      <c r="I231" s="201">
        <f>SUM(F$2:F231)</f>
        <v>11562.115290000005</v>
      </c>
      <c r="J231" s="201">
        <f>Model!F$51</f>
        <v>23678.322499999998</v>
      </c>
      <c r="K231" s="201">
        <f>Model!G$51</f>
        <v>26052.648000000005</v>
      </c>
      <c r="L231" s="201">
        <f>Model!H$51</f>
        <v>27478.056499999995</v>
      </c>
      <c r="M231" s="201">
        <f>Model!I$51</f>
        <v>28903.236999999997</v>
      </c>
      <c r="N231" s="201">
        <f>Model!J$51</f>
        <v>29853.18</v>
      </c>
      <c r="O231" s="201">
        <f>Model!K$51</f>
        <v>0</v>
      </c>
      <c r="P231" s="201">
        <f>Model!L$51</f>
        <v>0</v>
      </c>
      <c r="Q231" s="201">
        <f>Model!M$51</f>
        <v>0</v>
      </c>
      <c r="R231" s="201">
        <f>Model!N$51</f>
        <v>0</v>
      </c>
      <c r="S231" s="201">
        <f>Model!R$51</f>
        <v>25000</v>
      </c>
      <c r="T231" s="204" t="str">
        <f t="shared" si="41"/>
        <v xml:space="preserve">  </v>
      </c>
      <c r="U231" s="204" t="str">
        <f t="shared" si="42"/>
        <v/>
      </c>
      <c r="V231" s="204" t="str">
        <f t="shared" si="43"/>
        <v/>
      </c>
      <c r="W231" s="204" t="str">
        <f t="shared" si="41"/>
        <v/>
      </c>
      <c r="X231" s="204" t="str">
        <f t="shared" si="44"/>
        <v/>
      </c>
      <c r="Y231" s="204" t="str">
        <f t="shared" si="44"/>
        <v xml:space="preserve">  </v>
      </c>
      <c r="Z231" s="204" t="str">
        <f t="shared" si="44"/>
        <v xml:space="preserve">  </v>
      </c>
      <c r="AA231" s="204" t="str">
        <f t="shared" si="34"/>
        <v xml:space="preserve">  </v>
      </c>
      <c r="AB231" s="204" t="str">
        <f t="shared" si="34"/>
        <v xml:space="preserve">  </v>
      </c>
      <c r="AC231" s="204" t="str">
        <f t="shared" si="34"/>
        <v/>
      </c>
    </row>
    <row r="232" spans="1:29" x14ac:dyDescent="0.3">
      <c r="A232" s="202">
        <v>41505</v>
      </c>
      <c r="B232" s="203">
        <f t="shared" si="36"/>
        <v>8</v>
      </c>
      <c r="C232" s="203">
        <f t="shared" si="37"/>
        <v>1</v>
      </c>
      <c r="D232" s="201">
        <f t="shared" si="38"/>
        <v>238.75469677419355</v>
      </c>
      <c r="E232" s="201">
        <f t="shared" si="39"/>
        <v>340.90005161290321</v>
      </c>
      <c r="F232" s="201">
        <f t="shared" si="40"/>
        <v>136.60934516129032</v>
      </c>
      <c r="G232" s="201">
        <f>SUM(D$2:D232)</f>
        <v>25195.590438709714</v>
      </c>
      <c r="H232" s="201">
        <f>SUM(E$2:E232)</f>
        <v>33628.562780645065</v>
      </c>
      <c r="I232" s="201">
        <f>SUM(F$2:F232)</f>
        <v>11698.724635161296</v>
      </c>
      <c r="J232" s="201">
        <f>Model!F$51</f>
        <v>23678.322499999998</v>
      </c>
      <c r="K232" s="201">
        <f>Model!G$51</f>
        <v>26052.648000000005</v>
      </c>
      <c r="L232" s="201">
        <f>Model!H$51</f>
        <v>27478.056499999995</v>
      </c>
      <c r="M232" s="201">
        <f>Model!I$51</f>
        <v>28903.236999999997</v>
      </c>
      <c r="N232" s="201">
        <f>Model!J$51</f>
        <v>29853.18</v>
      </c>
      <c r="O232" s="201">
        <f>Model!K$51</f>
        <v>0</v>
      </c>
      <c r="P232" s="201">
        <f>Model!L$51</f>
        <v>0</v>
      </c>
      <c r="Q232" s="201">
        <f>Model!M$51</f>
        <v>0</v>
      </c>
      <c r="R232" s="201">
        <f>Model!N$51</f>
        <v>0</v>
      </c>
      <c r="S232" s="201">
        <f>Model!R$51</f>
        <v>25000</v>
      </c>
      <c r="T232" s="204" t="str">
        <f t="shared" si="41"/>
        <v xml:space="preserve">  </v>
      </c>
      <c r="U232" s="204" t="str">
        <f t="shared" si="42"/>
        <v/>
      </c>
      <c r="V232" s="204" t="str">
        <f t="shared" si="43"/>
        <v/>
      </c>
      <c r="W232" s="204" t="str">
        <f t="shared" si="41"/>
        <v/>
      </c>
      <c r="X232" s="204" t="str">
        <f t="shared" si="44"/>
        <v/>
      </c>
      <c r="Y232" s="204" t="str">
        <f t="shared" si="44"/>
        <v xml:space="preserve">  </v>
      </c>
      <c r="Z232" s="204" t="str">
        <f t="shared" si="44"/>
        <v xml:space="preserve">  </v>
      </c>
      <c r="AA232" s="204" t="str">
        <f t="shared" si="34"/>
        <v xml:space="preserve">  </v>
      </c>
      <c r="AB232" s="204" t="str">
        <f t="shared" si="34"/>
        <v xml:space="preserve">  </v>
      </c>
      <c r="AC232" s="204">
        <f t="shared" si="34"/>
        <v>41505</v>
      </c>
    </row>
    <row r="233" spans="1:29" x14ac:dyDescent="0.3">
      <c r="A233" s="202">
        <v>41506</v>
      </c>
      <c r="B233" s="203">
        <f t="shared" si="36"/>
        <v>8</v>
      </c>
      <c r="C233" s="203">
        <f t="shared" si="37"/>
        <v>1</v>
      </c>
      <c r="D233" s="201">
        <f t="shared" si="38"/>
        <v>238.75469677419355</v>
      </c>
      <c r="E233" s="201">
        <f t="shared" si="39"/>
        <v>340.90005161290321</v>
      </c>
      <c r="F233" s="201">
        <f t="shared" si="40"/>
        <v>136.60934516129032</v>
      </c>
      <c r="G233" s="201">
        <f>SUM(D$2:D233)</f>
        <v>25434.345135483909</v>
      </c>
      <c r="H233" s="201">
        <f>SUM(E$2:E233)</f>
        <v>33969.462832257967</v>
      </c>
      <c r="I233" s="201">
        <f>SUM(F$2:F233)</f>
        <v>11835.333980322586</v>
      </c>
      <c r="J233" s="201">
        <f>Model!F$51</f>
        <v>23678.322499999998</v>
      </c>
      <c r="K233" s="201">
        <f>Model!G$51</f>
        <v>26052.648000000005</v>
      </c>
      <c r="L233" s="201">
        <f>Model!H$51</f>
        <v>27478.056499999995</v>
      </c>
      <c r="M233" s="201">
        <f>Model!I$51</f>
        <v>28903.236999999997</v>
      </c>
      <c r="N233" s="201">
        <f>Model!J$51</f>
        <v>29853.18</v>
      </c>
      <c r="O233" s="201">
        <f>Model!K$51</f>
        <v>0</v>
      </c>
      <c r="P233" s="201">
        <f>Model!L$51</f>
        <v>0</v>
      </c>
      <c r="Q233" s="201">
        <f>Model!M$51</f>
        <v>0</v>
      </c>
      <c r="R233" s="201">
        <f>Model!N$51</f>
        <v>0</v>
      </c>
      <c r="S233" s="201">
        <f>Model!R$51</f>
        <v>25000</v>
      </c>
      <c r="T233" s="204" t="str">
        <f t="shared" si="41"/>
        <v xml:space="preserve">  </v>
      </c>
      <c r="U233" s="204" t="str">
        <f t="shared" si="42"/>
        <v/>
      </c>
      <c r="V233" s="204" t="str">
        <f t="shared" si="43"/>
        <v/>
      </c>
      <c r="W233" s="204" t="str">
        <f t="shared" si="41"/>
        <v/>
      </c>
      <c r="X233" s="204" t="str">
        <f t="shared" si="44"/>
        <v/>
      </c>
      <c r="Y233" s="204" t="str">
        <f t="shared" si="44"/>
        <v xml:space="preserve">  </v>
      </c>
      <c r="Z233" s="204" t="str">
        <f t="shared" si="44"/>
        <v xml:space="preserve">  </v>
      </c>
      <c r="AA233" s="204" t="str">
        <f t="shared" si="34"/>
        <v xml:space="preserve">  </v>
      </c>
      <c r="AB233" s="204" t="str">
        <f t="shared" si="34"/>
        <v xml:space="preserve">  </v>
      </c>
      <c r="AC233" s="204" t="str">
        <f t="shared" si="34"/>
        <v xml:space="preserve">  </v>
      </c>
    </row>
    <row r="234" spans="1:29" x14ac:dyDescent="0.3">
      <c r="A234" s="202">
        <v>41507</v>
      </c>
      <c r="B234" s="203">
        <f t="shared" si="36"/>
        <v>8</v>
      </c>
      <c r="C234" s="203">
        <f t="shared" si="37"/>
        <v>1</v>
      </c>
      <c r="D234" s="201">
        <f t="shared" si="38"/>
        <v>238.75469677419355</v>
      </c>
      <c r="E234" s="201">
        <f t="shared" si="39"/>
        <v>340.90005161290321</v>
      </c>
      <c r="F234" s="201">
        <f t="shared" si="40"/>
        <v>136.60934516129032</v>
      </c>
      <c r="G234" s="201">
        <f>SUM(D$2:D234)</f>
        <v>25673.099832258104</v>
      </c>
      <c r="H234" s="201">
        <f>SUM(E$2:E234)</f>
        <v>34310.362883870868</v>
      </c>
      <c r="I234" s="201">
        <f>SUM(F$2:F234)</f>
        <v>11971.943325483877</v>
      </c>
      <c r="J234" s="201">
        <f>Model!F$51</f>
        <v>23678.322499999998</v>
      </c>
      <c r="K234" s="201">
        <f>Model!G$51</f>
        <v>26052.648000000005</v>
      </c>
      <c r="L234" s="201">
        <f>Model!H$51</f>
        <v>27478.056499999995</v>
      </c>
      <c r="M234" s="201">
        <f>Model!I$51</f>
        <v>28903.236999999997</v>
      </c>
      <c r="N234" s="201">
        <f>Model!J$51</f>
        <v>29853.18</v>
      </c>
      <c r="O234" s="201">
        <f>Model!K$51</f>
        <v>0</v>
      </c>
      <c r="P234" s="201">
        <f>Model!L$51</f>
        <v>0</v>
      </c>
      <c r="Q234" s="201">
        <f>Model!M$51</f>
        <v>0</v>
      </c>
      <c r="R234" s="201">
        <f>Model!N$51</f>
        <v>0</v>
      </c>
      <c r="S234" s="201">
        <f>Model!R$51</f>
        <v>25000</v>
      </c>
      <c r="T234" s="204" t="str">
        <f t="shared" si="41"/>
        <v xml:space="preserve">  </v>
      </c>
      <c r="U234" s="204" t="str">
        <f t="shared" si="42"/>
        <v/>
      </c>
      <c r="V234" s="204" t="str">
        <f t="shared" si="43"/>
        <v/>
      </c>
      <c r="W234" s="204" t="str">
        <f t="shared" si="41"/>
        <v/>
      </c>
      <c r="X234" s="204" t="str">
        <f t="shared" si="44"/>
        <v/>
      </c>
      <c r="Y234" s="204" t="str">
        <f t="shared" si="44"/>
        <v xml:space="preserve">  </v>
      </c>
      <c r="Z234" s="204" t="str">
        <f t="shared" si="44"/>
        <v xml:space="preserve">  </v>
      </c>
      <c r="AA234" s="204" t="str">
        <f t="shared" si="34"/>
        <v xml:space="preserve">  </v>
      </c>
      <c r="AB234" s="204" t="str">
        <f t="shared" si="34"/>
        <v xml:space="preserve">  </v>
      </c>
      <c r="AC234" s="204" t="str">
        <f t="shared" si="34"/>
        <v xml:space="preserve">  </v>
      </c>
    </row>
    <row r="235" spans="1:29" x14ac:dyDescent="0.3">
      <c r="A235" s="202">
        <v>41508</v>
      </c>
      <c r="B235" s="203">
        <f t="shared" si="36"/>
        <v>8</v>
      </c>
      <c r="C235" s="203">
        <f t="shared" si="37"/>
        <v>1</v>
      </c>
      <c r="D235" s="201">
        <f t="shared" si="38"/>
        <v>238.75469677419355</v>
      </c>
      <c r="E235" s="201">
        <f t="shared" si="39"/>
        <v>340.90005161290321</v>
      </c>
      <c r="F235" s="201">
        <f t="shared" si="40"/>
        <v>136.60934516129032</v>
      </c>
      <c r="G235" s="201">
        <f>SUM(D$2:D235)</f>
        <v>25911.854529032298</v>
      </c>
      <c r="H235" s="201">
        <f>SUM(E$2:E235)</f>
        <v>34651.26293548377</v>
      </c>
      <c r="I235" s="201">
        <f>SUM(F$2:F235)</f>
        <v>12108.552670645167</v>
      </c>
      <c r="J235" s="201">
        <f>Model!F$51</f>
        <v>23678.322499999998</v>
      </c>
      <c r="K235" s="201">
        <f>Model!G$51</f>
        <v>26052.648000000005</v>
      </c>
      <c r="L235" s="201">
        <f>Model!H$51</f>
        <v>27478.056499999995</v>
      </c>
      <c r="M235" s="201">
        <f>Model!I$51</f>
        <v>28903.236999999997</v>
      </c>
      <c r="N235" s="201">
        <f>Model!J$51</f>
        <v>29853.18</v>
      </c>
      <c r="O235" s="201">
        <f>Model!K$51</f>
        <v>0</v>
      </c>
      <c r="P235" s="201">
        <f>Model!L$51</f>
        <v>0</v>
      </c>
      <c r="Q235" s="201">
        <f>Model!M$51</f>
        <v>0</v>
      </c>
      <c r="R235" s="201">
        <f>Model!N$51</f>
        <v>0</v>
      </c>
      <c r="S235" s="201">
        <f>Model!R$51</f>
        <v>25000</v>
      </c>
      <c r="T235" s="204" t="str">
        <f t="shared" si="41"/>
        <v xml:space="preserve">  </v>
      </c>
      <c r="U235" s="204" t="str">
        <f t="shared" si="42"/>
        <v/>
      </c>
      <c r="V235" s="204" t="str">
        <f t="shared" si="43"/>
        <v/>
      </c>
      <c r="W235" s="204" t="str">
        <f t="shared" si="41"/>
        <v/>
      </c>
      <c r="X235" s="204" t="str">
        <f t="shared" si="44"/>
        <v/>
      </c>
      <c r="Y235" s="204" t="str">
        <f t="shared" si="44"/>
        <v xml:space="preserve">  </v>
      </c>
      <c r="Z235" s="204" t="str">
        <f t="shared" si="44"/>
        <v xml:space="preserve">  </v>
      </c>
      <c r="AA235" s="204" t="str">
        <f t="shared" si="34"/>
        <v xml:space="preserve">  </v>
      </c>
      <c r="AB235" s="204" t="str">
        <f t="shared" si="34"/>
        <v xml:space="preserve">  </v>
      </c>
      <c r="AC235" s="204" t="str">
        <f t="shared" si="34"/>
        <v xml:space="preserve">  </v>
      </c>
    </row>
    <row r="236" spans="1:29" x14ac:dyDescent="0.3">
      <c r="A236" s="202">
        <v>41509</v>
      </c>
      <c r="B236" s="203">
        <f t="shared" si="36"/>
        <v>8</v>
      </c>
      <c r="C236" s="203">
        <f t="shared" si="37"/>
        <v>1</v>
      </c>
      <c r="D236" s="201">
        <f t="shared" si="38"/>
        <v>238.75469677419355</v>
      </c>
      <c r="E236" s="201">
        <f t="shared" si="39"/>
        <v>340.90005161290321</v>
      </c>
      <c r="F236" s="201">
        <f t="shared" si="40"/>
        <v>136.60934516129032</v>
      </c>
      <c r="G236" s="201">
        <f>SUM(D$2:D236)</f>
        <v>26150.609225806493</v>
      </c>
      <c r="H236" s="201">
        <f>SUM(E$2:E236)</f>
        <v>34992.162987096672</v>
      </c>
      <c r="I236" s="201">
        <f>SUM(F$2:F236)</f>
        <v>12245.162015806458</v>
      </c>
      <c r="J236" s="201">
        <f>Model!F$51</f>
        <v>23678.322499999998</v>
      </c>
      <c r="K236" s="201">
        <f>Model!G$51</f>
        <v>26052.648000000005</v>
      </c>
      <c r="L236" s="201">
        <f>Model!H$51</f>
        <v>27478.056499999995</v>
      </c>
      <c r="M236" s="201">
        <f>Model!I$51</f>
        <v>28903.236999999997</v>
      </c>
      <c r="N236" s="201">
        <f>Model!J$51</f>
        <v>29853.18</v>
      </c>
      <c r="O236" s="201">
        <f>Model!K$51</f>
        <v>0</v>
      </c>
      <c r="P236" s="201">
        <f>Model!L$51</f>
        <v>0</v>
      </c>
      <c r="Q236" s="201">
        <f>Model!M$51</f>
        <v>0</v>
      </c>
      <c r="R236" s="201">
        <f>Model!N$51</f>
        <v>0</v>
      </c>
      <c r="S236" s="201">
        <f>Model!R$51</f>
        <v>25000</v>
      </c>
      <c r="T236" s="204" t="str">
        <f t="shared" si="41"/>
        <v xml:space="preserve">  </v>
      </c>
      <c r="U236" s="204" t="str">
        <f t="shared" si="42"/>
        <v/>
      </c>
      <c r="V236" s="204" t="str">
        <f t="shared" si="43"/>
        <v/>
      </c>
      <c r="W236" s="204" t="str">
        <f t="shared" si="41"/>
        <v/>
      </c>
      <c r="X236" s="204" t="str">
        <f t="shared" si="44"/>
        <v/>
      </c>
      <c r="Y236" s="204" t="str">
        <f t="shared" si="44"/>
        <v xml:space="preserve">  </v>
      </c>
      <c r="Z236" s="204" t="str">
        <f t="shared" si="44"/>
        <v xml:space="preserve">  </v>
      </c>
      <c r="AA236" s="204" t="str">
        <f t="shared" si="34"/>
        <v xml:space="preserve">  </v>
      </c>
      <c r="AB236" s="204" t="str">
        <f t="shared" si="34"/>
        <v xml:space="preserve">  </v>
      </c>
      <c r="AC236" s="204" t="str">
        <f t="shared" si="34"/>
        <v xml:space="preserve">  </v>
      </c>
    </row>
    <row r="237" spans="1:29" x14ac:dyDescent="0.3">
      <c r="A237" s="202">
        <v>41510</v>
      </c>
      <c r="B237" s="203">
        <f t="shared" si="36"/>
        <v>8</v>
      </c>
      <c r="C237" s="203">
        <f t="shared" si="37"/>
        <v>1</v>
      </c>
      <c r="D237" s="201">
        <f t="shared" si="38"/>
        <v>238.75469677419355</v>
      </c>
      <c r="E237" s="201">
        <f t="shared" si="39"/>
        <v>340.90005161290321</v>
      </c>
      <c r="F237" s="201">
        <f t="shared" si="40"/>
        <v>136.60934516129032</v>
      </c>
      <c r="G237" s="201">
        <f>SUM(D$2:D237)</f>
        <v>26389.363922580687</v>
      </c>
      <c r="H237" s="201">
        <f>SUM(E$2:E237)</f>
        <v>35333.063038709573</v>
      </c>
      <c r="I237" s="201">
        <f>SUM(F$2:F237)</f>
        <v>12381.771360967748</v>
      </c>
      <c r="J237" s="201">
        <f>Model!F$51</f>
        <v>23678.322499999998</v>
      </c>
      <c r="K237" s="201">
        <f>Model!G$51</f>
        <v>26052.648000000005</v>
      </c>
      <c r="L237" s="201">
        <f>Model!H$51</f>
        <v>27478.056499999995</v>
      </c>
      <c r="M237" s="201">
        <f>Model!I$51</f>
        <v>28903.236999999997</v>
      </c>
      <c r="N237" s="201">
        <f>Model!J$51</f>
        <v>29853.18</v>
      </c>
      <c r="O237" s="201">
        <f>Model!K$51</f>
        <v>0</v>
      </c>
      <c r="P237" s="201">
        <f>Model!L$51</f>
        <v>0</v>
      </c>
      <c r="Q237" s="201">
        <f>Model!M$51</f>
        <v>0</v>
      </c>
      <c r="R237" s="201">
        <f>Model!N$51</f>
        <v>0</v>
      </c>
      <c r="S237" s="201">
        <f>Model!R$51</f>
        <v>25000</v>
      </c>
      <c r="T237" s="204" t="str">
        <f t="shared" si="41"/>
        <v xml:space="preserve">  </v>
      </c>
      <c r="U237" s="204" t="str">
        <f t="shared" si="42"/>
        <v/>
      </c>
      <c r="V237" s="204" t="str">
        <f t="shared" si="43"/>
        <v/>
      </c>
      <c r="W237" s="204" t="str">
        <f t="shared" si="41"/>
        <v/>
      </c>
      <c r="X237" s="204" t="str">
        <f t="shared" si="44"/>
        <v/>
      </c>
      <c r="Y237" s="204" t="str">
        <f t="shared" si="44"/>
        <v xml:space="preserve">  </v>
      </c>
      <c r="Z237" s="204" t="str">
        <f t="shared" si="44"/>
        <v xml:space="preserve">  </v>
      </c>
      <c r="AA237" s="204" t="str">
        <f t="shared" si="34"/>
        <v xml:space="preserve">  </v>
      </c>
      <c r="AB237" s="204" t="str">
        <f t="shared" si="34"/>
        <v xml:space="preserve">  </v>
      </c>
      <c r="AC237" s="204" t="str">
        <f t="shared" si="34"/>
        <v xml:space="preserve">  </v>
      </c>
    </row>
    <row r="238" spans="1:29" x14ac:dyDescent="0.3">
      <c r="A238" s="202">
        <v>41511</v>
      </c>
      <c r="B238" s="203">
        <f t="shared" si="36"/>
        <v>8</v>
      </c>
      <c r="C238" s="203">
        <f t="shared" si="37"/>
        <v>1</v>
      </c>
      <c r="D238" s="201">
        <f t="shared" si="38"/>
        <v>238.75469677419355</v>
      </c>
      <c r="E238" s="201">
        <f t="shared" si="39"/>
        <v>340.90005161290321</v>
      </c>
      <c r="F238" s="201">
        <f t="shared" si="40"/>
        <v>136.60934516129032</v>
      </c>
      <c r="G238" s="201">
        <f>SUM(D$2:D238)</f>
        <v>26628.118619354882</v>
      </c>
      <c r="H238" s="201">
        <f>SUM(E$2:E238)</f>
        <v>35673.963090322475</v>
      </c>
      <c r="I238" s="201">
        <f>SUM(F$2:F238)</f>
        <v>12518.380706129039</v>
      </c>
      <c r="J238" s="201">
        <f>Model!F$51</f>
        <v>23678.322499999998</v>
      </c>
      <c r="K238" s="201">
        <f>Model!G$51</f>
        <v>26052.648000000005</v>
      </c>
      <c r="L238" s="201">
        <f>Model!H$51</f>
        <v>27478.056499999995</v>
      </c>
      <c r="M238" s="201">
        <f>Model!I$51</f>
        <v>28903.236999999997</v>
      </c>
      <c r="N238" s="201">
        <f>Model!J$51</f>
        <v>29853.18</v>
      </c>
      <c r="O238" s="201">
        <f>Model!K$51</f>
        <v>0</v>
      </c>
      <c r="P238" s="201">
        <f>Model!L$51</f>
        <v>0</v>
      </c>
      <c r="Q238" s="201">
        <f>Model!M$51</f>
        <v>0</v>
      </c>
      <c r="R238" s="201">
        <f>Model!N$51</f>
        <v>0</v>
      </c>
      <c r="S238" s="201">
        <f>Model!R$51</f>
        <v>25000</v>
      </c>
      <c r="T238" s="204" t="str">
        <f t="shared" si="41"/>
        <v xml:space="preserve">  </v>
      </c>
      <c r="U238" s="204" t="str">
        <f t="shared" si="42"/>
        <v/>
      </c>
      <c r="V238" s="204" t="str">
        <f t="shared" si="43"/>
        <v/>
      </c>
      <c r="W238" s="204" t="str">
        <f t="shared" si="41"/>
        <v/>
      </c>
      <c r="X238" s="204" t="str">
        <f t="shared" si="44"/>
        <v/>
      </c>
      <c r="Y238" s="204" t="str">
        <f t="shared" si="44"/>
        <v xml:space="preserve">  </v>
      </c>
      <c r="Z238" s="204" t="str">
        <f t="shared" si="44"/>
        <v xml:space="preserve">  </v>
      </c>
      <c r="AA238" s="204" t="str">
        <f t="shared" si="34"/>
        <v xml:space="preserve">  </v>
      </c>
      <c r="AB238" s="204" t="str">
        <f t="shared" si="34"/>
        <v xml:space="preserve">  </v>
      </c>
      <c r="AC238" s="204" t="str">
        <f t="shared" si="34"/>
        <v xml:space="preserve">  </v>
      </c>
    </row>
    <row r="239" spans="1:29" x14ac:dyDescent="0.3">
      <c r="A239" s="202">
        <v>41512</v>
      </c>
      <c r="B239" s="203">
        <f t="shared" si="36"/>
        <v>8</v>
      </c>
      <c r="C239" s="203">
        <f t="shared" si="37"/>
        <v>1</v>
      </c>
      <c r="D239" s="201">
        <f t="shared" si="38"/>
        <v>238.75469677419355</v>
      </c>
      <c r="E239" s="201">
        <f t="shared" si="39"/>
        <v>340.90005161290321</v>
      </c>
      <c r="F239" s="201">
        <f t="shared" si="40"/>
        <v>136.60934516129032</v>
      </c>
      <c r="G239" s="201">
        <f>SUM(D$2:D239)</f>
        <v>26866.873316129077</v>
      </c>
      <c r="H239" s="201">
        <f>SUM(E$2:E239)</f>
        <v>36014.863141935377</v>
      </c>
      <c r="I239" s="201">
        <f>SUM(F$2:F239)</f>
        <v>12654.99005129033</v>
      </c>
      <c r="J239" s="201">
        <f>Model!F$51</f>
        <v>23678.322499999998</v>
      </c>
      <c r="K239" s="201">
        <f>Model!G$51</f>
        <v>26052.648000000005</v>
      </c>
      <c r="L239" s="201">
        <f>Model!H$51</f>
        <v>27478.056499999995</v>
      </c>
      <c r="M239" s="201">
        <f>Model!I$51</f>
        <v>28903.236999999997</v>
      </c>
      <c r="N239" s="201">
        <f>Model!J$51</f>
        <v>29853.18</v>
      </c>
      <c r="O239" s="201">
        <f>Model!K$51</f>
        <v>0</v>
      </c>
      <c r="P239" s="201">
        <f>Model!L$51</f>
        <v>0</v>
      </c>
      <c r="Q239" s="201">
        <f>Model!M$51</f>
        <v>0</v>
      </c>
      <c r="R239" s="201">
        <f>Model!N$51</f>
        <v>0</v>
      </c>
      <c r="S239" s="201">
        <f>Model!R$51</f>
        <v>25000</v>
      </c>
      <c r="T239" s="204" t="str">
        <f t="shared" si="41"/>
        <v xml:space="preserve">  </v>
      </c>
      <c r="U239" s="204" t="str">
        <f t="shared" si="42"/>
        <v/>
      </c>
      <c r="V239" s="204" t="str">
        <f t="shared" si="43"/>
        <v/>
      </c>
      <c r="W239" s="204" t="str">
        <f t="shared" si="41"/>
        <v/>
      </c>
      <c r="X239" s="204" t="str">
        <f t="shared" si="44"/>
        <v/>
      </c>
      <c r="Y239" s="204" t="str">
        <f t="shared" si="44"/>
        <v xml:space="preserve">  </v>
      </c>
      <c r="Z239" s="204" t="str">
        <f t="shared" si="44"/>
        <v xml:space="preserve">  </v>
      </c>
      <c r="AA239" s="204" t="str">
        <f t="shared" si="34"/>
        <v xml:space="preserve">  </v>
      </c>
      <c r="AB239" s="204" t="str">
        <f t="shared" si="34"/>
        <v xml:space="preserve">  </v>
      </c>
      <c r="AC239" s="204" t="str">
        <f t="shared" si="34"/>
        <v xml:space="preserve">  </v>
      </c>
    </row>
    <row r="240" spans="1:29" x14ac:dyDescent="0.3">
      <c r="A240" s="202">
        <v>41513</v>
      </c>
      <c r="B240" s="203">
        <f t="shared" si="36"/>
        <v>8</v>
      </c>
      <c r="C240" s="203">
        <f t="shared" si="37"/>
        <v>1</v>
      </c>
      <c r="D240" s="201">
        <f t="shared" si="38"/>
        <v>238.75469677419355</v>
      </c>
      <c r="E240" s="201">
        <f t="shared" si="39"/>
        <v>340.90005161290321</v>
      </c>
      <c r="F240" s="201">
        <f t="shared" si="40"/>
        <v>136.60934516129032</v>
      </c>
      <c r="G240" s="201">
        <f>SUM(D$2:D240)</f>
        <v>27105.628012903271</v>
      </c>
      <c r="H240" s="201">
        <f>SUM(E$2:E240)</f>
        <v>36355.763193548279</v>
      </c>
      <c r="I240" s="201">
        <f>SUM(F$2:F240)</f>
        <v>12791.59939645162</v>
      </c>
      <c r="J240" s="201">
        <f>Model!F$51</f>
        <v>23678.322499999998</v>
      </c>
      <c r="K240" s="201">
        <f>Model!G$51</f>
        <v>26052.648000000005</v>
      </c>
      <c r="L240" s="201">
        <f>Model!H$51</f>
        <v>27478.056499999995</v>
      </c>
      <c r="M240" s="201">
        <f>Model!I$51</f>
        <v>28903.236999999997</v>
      </c>
      <c r="N240" s="201">
        <f>Model!J$51</f>
        <v>29853.18</v>
      </c>
      <c r="O240" s="201">
        <f>Model!K$51</f>
        <v>0</v>
      </c>
      <c r="P240" s="201">
        <f>Model!L$51</f>
        <v>0</v>
      </c>
      <c r="Q240" s="201">
        <f>Model!M$51</f>
        <v>0</v>
      </c>
      <c r="R240" s="201">
        <f>Model!N$51</f>
        <v>0</v>
      </c>
      <c r="S240" s="201">
        <f>Model!R$51</f>
        <v>25000</v>
      </c>
      <c r="T240" s="204" t="str">
        <f t="shared" si="41"/>
        <v xml:space="preserve">  </v>
      </c>
      <c r="U240" s="204" t="str">
        <f t="shared" si="42"/>
        <v/>
      </c>
      <c r="V240" s="204" t="str">
        <f t="shared" si="43"/>
        <v/>
      </c>
      <c r="W240" s="204" t="str">
        <f t="shared" si="41"/>
        <v/>
      </c>
      <c r="X240" s="204" t="str">
        <f t="shared" si="44"/>
        <v/>
      </c>
      <c r="Y240" s="204" t="str">
        <f t="shared" si="44"/>
        <v xml:space="preserve">  </v>
      </c>
      <c r="Z240" s="204" t="str">
        <f t="shared" si="44"/>
        <v xml:space="preserve">  </v>
      </c>
      <c r="AA240" s="204" t="str">
        <f t="shared" si="34"/>
        <v xml:space="preserve">  </v>
      </c>
      <c r="AB240" s="204" t="str">
        <f t="shared" si="34"/>
        <v xml:space="preserve">  </v>
      </c>
      <c r="AC240" s="204" t="str">
        <f t="shared" si="34"/>
        <v xml:space="preserve">  </v>
      </c>
    </row>
    <row r="241" spans="1:29" x14ac:dyDescent="0.3">
      <c r="A241" s="202">
        <v>41514</v>
      </c>
      <c r="B241" s="203">
        <f t="shared" si="36"/>
        <v>8</v>
      </c>
      <c r="C241" s="203">
        <f t="shared" si="37"/>
        <v>1</v>
      </c>
      <c r="D241" s="201">
        <f t="shared" si="38"/>
        <v>238.75469677419355</v>
      </c>
      <c r="E241" s="201">
        <f t="shared" si="39"/>
        <v>340.90005161290321</v>
      </c>
      <c r="F241" s="201">
        <f t="shared" si="40"/>
        <v>136.60934516129032</v>
      </c>
      <c r="G241" s="201">
        <f>SUM(D$2:D241)</f>
        <v>27344.382709677466</v>
      </c>
      <c r="H241" s="201">
        <f>SUM(E$2:E241)</f>
        <v>36696.66324516118</v>
      </c>
      <c r="I241" s="201">
        <f>SUM(F$2:F241)</f>
        <v>12928.208741612911</v>
      </c>
      <c r="J241" s="201">
        <f>Model!F$51</f>
        <v>23678.322499999998</v>
      </c>
      <c r="K241" s="201">
        <f>Model!G$51</f>
        <v>26052.648000000005</v>
      </c>
      <c r="L241" s="201">
        <f>Model!H$51</f>
        <v>27478.056499999995</v>
      </c>
      <c r="M241" s="201">
        <f>Model!I$51</f>
        <v>28903.236999999997</v>
      </c>
      <c r="N241" s="201">
        <f>Model!J$51</f>
        <v>29853.18</v>
      </c>
      <c r="O241" s="201">
        <f>Model!K$51</f>
        <v>0</v>
      </c>
      <c r="P241" s="201">
        <f>Model!L$51</f>
        <v>0</v>
      </c>
      <c r="Q241" s="201">
        <f>Model!M$51</f>
        <v>0</v>
      </c>
      <c r="R241" s="201">
        <f>Model!N$51</f>
        <v>0</v>
      </c>
      <c r="S241" s="201">
        <f>Model!R$51</f>
        <v>25000</v>
      </c>
      <c r="T241" s="204" t="str">
        <f t="shared" si="41"/>
        <v xml:space="preserve">  </v>
      </c>
      <c r="U241" s="204" t="str">
        <f t="shared" si="42"/>
        <v/>
      </c>
      <c r="V241" s="204" t="str">
        <f t="shared" si="43"/>
        <v/>
      </c>
      <c r="W241" s="204" t="str">
        <f t="shared" si="41"/>
        <v/>
      </c>
      <c r="X241" s="204" t="str">
        <f t="shared" si="44"/>
        <v/>
      </c>
      <c r="Y241" s="204" t="str">
        <f t="shared" si="44"/>
        <v xml:space="preserve">  </v>
      </c>
      <c r="Z241" s="204" t="str">
        <f t="shared" si="44"/>
        <v xml:space="preserve">  </v>
      </c>
      <c r="AA241" s="204" t="str">
        <f t="shared" si="34"/>
        <v xml:space="preserve">  </v>
      </c>
      <c r="AB241" s="204" t="str">
        <f t="shared" si="34"/>
        <v xml:space="preserve">  </v>
      </c>
      <c r="AC241" s="204" t="str">
        <f t="shared" si="34"/>
        <v xml:space="preserve">  </v>
      </c>
    </row>
    <row r="242" spans="1:29" x14ac:dyDescent="0.3">
      <c r="A242" s="202">
        <v>41515</v>
      </c>
      <c r="B242" s="203">
        <f t="shared" si="36"/>
        <v>8</v>
      </c>
      <c r="C242" s="203">
        <f t="shared" si="37"/>
        <v>1</v>
      </c>
      <c r="D242" s="201">
        <f t="shared" si="38"/>
        <v>238.75469677419355</v>
      </c>
      <c r="E242" s="201">
        <f t="shared" si="39"/>
        <v>340.90005161290321</v>
      </c>
      <c r="F242" s="201">
        <f t="shared" si="40"/>
        <v>136.60934516129032</v>
      </c>
      <c r="G242" s="201">
        <f>SUM(D$2:D242)</f>
        <v>27583.13740645166</v>
      </c>
      <c r="H242" s="201">
        <f>SUM(E$2:E242)</f>
        <v>37037.563296774082</v>
      </c>
      <c r="I242" s="201">
        <f>SUM(F$2:F242)</f>
        <v>13064.818086774201</v>
      </c>
      <c r="J242" s="201">
        <f>Model!F$51</f>
        <v>23678.322499999998</v>
      </c>
      <c r="K242" s="201">
        <f>Model!G$51</f>
        <v>26052.648000000005</v>
      </c>
      <c r="L242" s="201">
        <f>Model!H$51</f>
        <v>27478.056499999995</v>
      </c>
      <c r="M242" s="201">
        <f>Model!I$51</f>
        <v>28903.236999999997</v>
      </c>
      <c r="N242" s="201">
        <f>Model!J$51</f>
        <v>29853.18</v>
      </c>
      <c r="O242" s="201">
        <f>Model!K$51</f>
        <v>0</v>
      </c>
      <c r="P242" s="201">
        <f>Model!L$51</f>
        <v>0</v>
      </c>
      <c r="Q242" s="201">
        <f>Model!M$51</f>
        <v>0</v>
      </c>
      <c r="R242" s="201">
        <f>Model!N$51</f>
        <v>0</v>
      </c>
      <c r="S242" s="201">
        <f>Model!R$51</f>
        <v>25000</v>
      </c>
      <c r="T242" s="204" t="str">
        <f t="shared" si="41"/>
        <v xml:space="preserve">  </v>
      </c>
      <c r="U242" s="204">
        <f t="shared" si="42"/>
        <v>41515</v>
      </c>
      <c r="V242" s="204" t="str">
        <f t="shared" si="43"/>
        <v/>
      </c>
      <c r="W242" s="204" t="str">
        <f t="shared" si="41"/>
        <v/>
      </c>
      <c r="X242" s="204" t="str">
        <f t="shared" si="44"/>
        <v/>
      </c>
      <c r="Y242" s="204" t="str">
        <f t="shared" si="44"/>
        <v xml:space="preserve">  </v>
      </c>
      <c r="Z242" s="204" t="str">
        <f t="shared" si="44"/>
        <v xml:space="preserve">  </v>
      </c>
      <c r="AA242" s="204" t="str">
        <f t="shared" si="34"/>
        <v xml:space="preserve">  </v>
      </c>
      <c r="AB242" s="204" t="str">
        <f t="shared" si="34"/>
        <v xml:space="preserve">  </v>
      </c>
      <c r="AC242" s="204" t="str">
        <f t="shared" si="34"/>
        <v xml:space="preserve">  </v>
      </c>
    </row>
    <row r="243" spans="1:29" x14ac:dyDescent="0.3">
      <c r="A243" s="202">
        <v>41516</v>
      </c>
      <c r="B243" s="203">
        <f t="shared" si="36"/>
        <v>8</v>
      </c>
      <c r="C243" s="203">
        <f t="shared" si="37"/>
        <v>1</v>
      </c>
      <c r="D243" s="201">
        <f t="shared" si="38"/>
        <v>238.75469677419355</v>
      </c>
      <c r="E243" s="201">
        <f t="shared" si="39"/>
        <v>340.90005161290321</v>
      </c>
      <c r="F243" s="201">
        <f t="shared" si="40"/>
        <v>136.60934516129032</v>
      </c>
      <c r="G243" s="201">
        <f>SUM(D$2:D243)</f>
        <v>27821.892103225855</v>
      </c>
      <c r="H243" s="201">
        <f>SUM(E$2:E243)</f>
        <v>37378.463348386984</v>
      </c>
      <c r="I243" s="201">
        <f>SUM(F$2:F243)</f>
        <v>13201.427431935492</v>
      </c>
      <c r="J243" s="201">
        <f>Model!F$51</f>
        <v>23678.322499999998</v>
      </c>
      <c r="K243" s="201">
        <f>Model!G$51</f>
        <v>26052.648000000005</v>
      </c>
      <c r="L243" s="201">
        <f>Model!H$51</f>
        <v>27478.056499999995</v>
      </c>
      <c r="M243" s="201">
        <f>Model!I$51</f>
        <v>28903.236999999997</v>
      </c>
      <c r="N243" s="201">
        <f>Model!J$51</f>
        <v>29853.18</v>
      </c>
      <c r="O243" s="201">
        <f>Model!K$51</f>
        <v>0</v>
      </c>
      <c r="P243" s="201">
        <f>Model!L$51</f>
        <v>0</v>
      </c>
      <c r="Q243" s="201">
        <f>Model!M$51</f>
        <v>0</v>
      </c>
      <c r="R243" s="201">
        <f>Model!N$51</f>
        <v>0</v>
      </c>
      <c r="S243" s="201">
        <f>Model!R$51</f>
        <v>25000</v>
      </c>
      <c r="T243" s="204" t="str">
        <f t="shared" si="41"/>
        <v xml:space="preserve">  </v>
      </c>
      <c r="U243" s="204" t="str">
        <f t="shared" si="42"/>
        <v xml:space="preserve">  </v>
      </c>
      <c r="V243" s="204" t="str">
        <f t="shared" si="43"/>
        <v/>
      </c>
      <c r="W243" s="204" t="str">
        <f t="shared" si="41"/>
        <v/>
      </c>
      <c r="X243" s="204" t="str">
        <f t="shared" si="44"/>
        <v/>
      </c>
      <c r="Y243" s="204" t="str">
        <f t="shared" si="44"/>
        <v xml:space="preserve">  </v>
      </c>
      <c r="Z243" s="204" t="str">
        <f t="shared" si="44"/>
        <v xml:space="preserve">  </v>
      </c>
      <c r="AA243" s="204" t="str">
        <f t="shared" si="34"/>
        <v xml:space="preserve">  </v>
      </c>
      <c r="AB243" s="204" t="str">
        <f t="shared" si="34"/>
        <v xml:space="preserve">  </v>
      </c>
      <c r="AC243" s="204" t="str">
        <f t="shared" si="34"/>
        <v xml:space="preserve">  </v>
      </c>
    </row>
    <row r="244" spans="1:29" x14ac:dyDescent="0.3">
      <c r="A244" s="202">
        <v>41517</v>
      </c>
      <c r="B244" s="203">
        <f t="shared" si="36"/>
        <v>8</v>
      </c>
      <c r="C244" s="203">
        <f t="shared" si="37"/>
        <v>1</v>
      </c>
      <c r="D244" s="201">
        <f t="shared" si="38"/>
        <v>238.75469677419355</v>
      </c>
      <c r="E244" s="201">
        <f t="shared" si="39"/>
        <v>340.90005161290321</v>
      </c>
      <c r="F244" s="201">
        <f t="shared" si="40"/>
        <v>136.60934516129032</v>
      </c>
      <c r="G244" s="201">
        <f>SUM(D$2:D244)</f>
        <v>28060.64680000005</v>
      </c>
      <c r="H244" s="201">
        <f>SUM(E$2:E244)</f>
        <v>37719.363399999886</v>
      </c>
      <c r="I244" s="201">
        <f>SUM(F$2:F244)</f>
        <v>13338.036777096782</v>
      </c>
      <c r="J244" s="201">
        <f>Model!F$51</f>
        <v>23678.322499999998</v>
      </c>
      <c r="K244" s="201">
        <f>Model!G$51</f>
        <v>26052.648000000005</v>
      </c>
      <c r="L244" s="201">
        <f>Model!H$51</f>
        <v>27478.056499999995</v>
      </c>
      <c r="M244" s="201">
        <f>Model!I$51</f>
        <v>28903.236999999997</v>
      </c>
      <c r="N244" s="201">
        <f>Model!J$51</f>
        <v>29853.18</v>
      </c>
      <c r="O244" s="201">
        <f>Model!K$51</f>
        <v>0</v>
      </c>
      <c r="P244" s="201">
        <f>Model!L$51</f>
        <v>0</v>
      </c>
      <c r="Q244" s="201">
        <f>Model!M$51</f>
        <v>0</v>
      </c>
      <c r="R244" s="201">
        <f>Model!N$51</f>
        <v>0</v>
      </c>
      <c r="S244" s="201">
        <f>Model!R$51</f>
        <v>25000</v>
      </c>
      <c r="T244" s="204" t="str">
        <f t="shared" si="41"/>
        <v xml:space="preserve">  </v>
      </c>
      <c r="U244" s="204" t="str">
        <f t="shared" si="42"/>
        <v xml:space="preserve">  </v>
      </c>
      <c r="V244" s="204" t="str">
        <f t="shared" si="43"/>
        <v/>
      </c>
      <c r="W244" s="204" t="str">
        <f t="shared" si="41"/>
        <v/>
      </c>
      <c r="X244" s="204" t="str">
        <f t="shared" si="44"/>
        <v/>
      </c>
      <c r="Y244" s="204" t="str">
        <f t="shared" si="44"/>
        <v xml:space="preserve">  </v>
      </c>
      <c r="Z244" s="204" t="str">
        <f t="shared" si="44"/>
        <v xml:space="preserve">  </v>
      </c>
      <c r="AA244" s="204" t="str">
        <f t="shared" si="34"/>
        <v xml:space="preserve">  </v>
      </c>
      <c r="AB244" s="204" t="str">
        <f t="shared" si="34"/>
        <v xml:space="preserve">  </v>
      </c>
      <c r="AC244" s="204" t="str">
        <f t="shared" si="34"/>
        <v xml:space="preserve">  </v>
      </c>
    </row>
    <row r="245" spans="1:29" x14ac:dyDescent="0.3">
      <c r="A245" s="202">
        <v>41518</v>
      </c>
      <c r="B245" s="203">
        <f t="shared" si="36"/>
        <v>9</v>
      </c>
      <c r="C245" s="203">
        <f t="shared" si="37"/>
        <v>1</v>
      </c>
      <c r="D245" s="201">
        <f t="shared" si="38"/>
        <v>27.116099999999999</v>
      </c>
      <c r="E245" s="201">
        <f t="shared" si="39"/>
        <v>36.5152</v>
      </c>
      <c r="F245" s="201">
        <f t="shared" si="40"/>
        <v>17.145487096774193</v>
      </c>
      <c r="G245" s="201">
        <f>SUM(D$2:D245)</f>
        <v>28087.762900000049</v>
      </c>
      <c r="H245" s="201">
        <f>SUM(E$2:E245)</f>
        <v>37755.878599999887</v>
      </c>
      <c r="I245" s="201">
        <f>SUM(F$2:F245)</f>
        <v>13355.182264193556</v>
      </c>
      <c r="J245" s="201">
        <f>Model!F$51</f>
        <v>23678.322499999998</v>
      </c>
      <c r="K245" s="201">
        <f>Model!G$51</f>
        <v>26052.648000000005</v>
      </c>
      <c r="L245" s="201">
        <f>Model!H$51</f>
        <v>27478.056499999995</v>
      </c>
      <c r="M245" s="201">
        <f>Model!I$51</f>
        <v>28903.236999999997</v>
      </c>
      <c r="N245" s="201">
        <f>Model!J$51</f>
        <v>29853.18</v>
      </c>
      <c r="O245" s="201">
        <f>Model!K$51</f>
        <v>0</v>
      </c>
      <c r="P245" s="201">
        <f>Model!L$51</f>
        <v>0</v>
      </c>
      <c r="Q245" s="201">
        <f>Model!M$51</f>
        <v>0</v>
      </c>
      <c r="R245" s="201">
        <f>Model!N$51</f>
        <v>0</v>
      </c>
      <c r="S245" s="201">
        <f>Model!R$51</f>
        <v>25000</v>
      </c>
      <c r="T245" s="204" t="str">
        <f t="shared" si="41"/>
        <v xml:space="preserve">  </v>
      </c>
      <c r="U245" s="204" t="str">
        <f t="shared" si="42"/>
        <v xml:space="preserve">  </v>
      </c>
      <c r="V245" s="204" t="str">
        <f t="shared" si="43"/>
        <v/>
      </c>
      <c r="W245" s="204" t="str">
        <f t="shared" si="41"/>
        <v/>
      </c>
      <c r="X245" s="204" t="str">
        <f t="shared" si="44"/>
        <v/>
      </c>
      <c r="Y245" s="204" t="str">
        <f t="shared" si="44"/>
        <v xml:space="preserve">  </v>
      </c>
      <c r="Z245" s="204" t="str">
        <f t="shared" si="44"/>
        <v xml:space="preserve">  </v>
      </c>
      <c r="AA245" s="204" t="str">
        <f t="shared" si="34"/>
        <v xml:space="preserve">  </v>
      </c>
      <c r="AB245" s="204" t="str">
        <f t="shared" si="34"/>
        <v xml:space="preserve">  </v>
      </c>
      <c r="AC245" s="204" t="str">
        <f t="shared" si="34"/>
        <v xml:space="preserve">  </v>
      </c>
    </row>
    <row r="246" spans="1:29" x14ac:dyDescent="0.3">
      <c r="A246" s="202">
        <v>41519</v>
      </c>
      <c r="B246" s="203">
        <f t="shared" si="36"/>
        <v>9</v>
      </c>
      <c r="C246" s="203">
        <f t="shared" si="37"/>
        <v>1</v>
      </c>
      <c r="D246" s="201">
        <f t="shared" si="38"/>
        <v>27.116099999999999</v>
      </c>
      <c r="E246" s="201">
        <f t="shared" si="39"/>
        <v>36.5152</v>
      </c>
      <c r="F246" s="201">
        <f t="shared" si="40"/>
        <v>17.145487096774193</v>
      </c>
      <c r="G246" s="201">
        <f>SUM(D$2:D246)</f>
        <v>28114.879000000048</v>
      </c>
      <c r="H246" s="201">
        <f>SUM(E$2:E246)</f>
        <v>37792.393799999889</v>
      </c>
      <c r="I246" s="201">
        <f>SUM(F$2:F246)</f>
        <v>13372.32775129033</v>
      </c>
      <c r="J246" s="201">
        <f>Model!F$51</f>
        <v>23678.322499999998</v>
      </c>
      <c r="K246" s="201">
        <f>Model!G$51</f>
        <v>26052.648000000005</v>
      </c>
      <c r="L246" s="201">
        <f>Model!H$51</f>
        <v>27478.056499999995</v>
      </c>
      <c r="M246" s="201">
        <f>Model!I$51</f>
        <v>28903.236999999997</v>
      </c>
      <c r="N246" s="201">
        <f>Model!J$51</f>
        <v>29853.18</v>
      </c>
      <c r="O246" s="201">
        <f>Model!K$51</f>
        <v>0</v>
      </c>
      <c r="P246" s="201">
        <f>Model!L$51</f>
        <v>0</v>
      </c>
      <c r="Q246" s="201">
        <f>Model!M$51</f>
        <v>0</v>
      </c>
      <c r="R246" s="201">
        <f>Model!N$51</f>
        <v>0</v>
      </c>
      <c r="S246" s="201">
        <f>Model!R$51</f>
        <v>25000</v>
      </c>
      <c r="T246" s="204" t="str">
        <f t="shared" si="41"/>
        <v xml:space="preserve">  </v>
      </c>
      <c r="U246" s="204" t="str">
        <f t="shared" si="42"/>
        <v xml:space="preserve">  </v>
      </c>
      <c r="V246" s="204" t="str">
        <f t="shared" si="43"/>
        <v/>
      </c>
      <c r="W246" s="204" t="str">
        <f t="shared" si="41"/>
        <v/>
      </c>
      <c r="X246" s="204" t="str">
        <f t="shared" si="44"/>
        <v/>
      </c>
      <c r="Y246" s="204" t="str">
        <f t="shared" si="44"/>
        <v xml:space="preserve">  </v>
      </c>
      <c r="Z246" s="204" t="str">
        <f t="shared" si="44"/>
        <v xml:space="preserve">  </v>
      </c>
      <c r="AA246" s="204" t="str">
        <f t="shared" si="34"/>
        <v xml:space="preserve">  </v>
      </c>
      <c r="AB246" s="204" t="str">
        <f t="shared" si="34"/>
        <v xml:space="preserve">  </v>
      </c>
      <c r="AC246" s="204" t="str">
        <f t="shared" si="34"/>
        <v xml:space="preserve">  </v>
      </c>
    </row>
    <row r="247" spans="1:29" x14ac:dyDescent="0.3">
      <c r="A247" s="202">
        <v>41520</v>
      </c>
      <c r="B247" s="203">
        <f t="shared" si="36"/>
        <v>9</v>
      </c>
      <c r="C247" s="203">
        <f t="shared" si="37"/>
        <v>1</v>
      </c>
      <c r="D247" s="201">
        <f t="shared" si="38"/>
        <v>27.116099999999999</v>
      </c>
      <c r="E247" s="201">
        <f t="shared" si="39"/>
        <v>36.5152</v>
      </c>
      <c r="F247" s="201">
        <f t="shared" si="40"/>
        <v>17.145487096774193</v>
      </c>
      <c r="G247" s="201">
        <f>SUM(D$2:D247)</f>
        <v>28141.995100000047</v>
      </c>
      <c r="H247" s="201">
        <f>SUM(E$2:E247)</f>
        <v>37828.908999999891</v>
      </c>
      <c r="I247" s="201">
        <f>SUM(F$2:F247)</f>
        <v>13389.473238387103</v>
      </c>
      <c r="J247" s="201">
        <f>Model!F$51</f>
        <v>23678.322499999998</v>
      </c>
      <c r="K247" s="201">
        <f>Model!G$51</f>
        <v>26052.648000000005</v>
      </c>
      <c r="L247" s="201">
        <f>Model!H$51</f>
        <v>27478.056499999995</v>
      </c>
      <c r="M247" s="201">
        <f>Model!I$51</f>
        <v>28903.236999999997</v>
      </c>
      <c r="N247" s="201">
        <f>Model!J$51</f>
        <v>29853.18</v>
      </c>
      <c r="O247" s="201">
        <f>Model!K$51</f>
        <v>0</v>
      </c>
      <c r="P247" s="201">
        <f>Model!L$51</f>
        <v>0</v>
      </c>
      <c r="Q247" s="201">
        <f>Model!M$51</f>
        <v>0</v>
      </c>
      <c r="R247" s="201">
        <f>Model!N$51</f>
        <v>0</v>
      </c>
      <c r="S247" s="201">
        <f>Model!R$51</f>
        <v>25000</v>
      </c>
      <c r="T247" s="204" t="str">
        <f t="shared" si="41"/>
        <v xml:space="preserve">  </v>
      </c>
      <c r="U247" s="204" t="str">
        <f t="shared" si="42"/>
        <v xml:space="preserve">  </v>
      </c>
      <c r="V247" s="204" t="str">
        <f t="shared" si="43"/>
        <v/>
      </c>
      <c r="W247" s="204" t="str">
        <f t="shared" si="41"/>
        <v/>
      </c>
      <c r="X247" s="204" t="str">
        <f t="shared" si="44"/>
        <v/>
      </c>
      <c r="Y247" s="204" t="str">
        <f t="shared" si="44"/>
        <v xml:space="preserve">  </v>
      </c>
      <c r="Z247" s="204" t="str">
        <f t="shared" si="44"/>
        <v xml:space="preserve">  </v>
      </c>
      <c r="AA247" s="204" t="str">
        <f t="shared" si="34"/>
        <v xml:space="preserve">  </v>
      </c>
      <c r="AB247" s="204" t="str">
        <f t="shared" si="34"/>
        <v xml:space="preserve">  </v>
      </c>
      <c r="AC247" s="204" t="str">
        <f t="shared" si="34"/>
        <v xml:space="preserve">  </v>
      </c>
    </row>
    <row r="248" spans="1:29" x14ac:dyDescent="0.3">
      <c r="A248" s="202">
        <v>41521</v>
      </c>
      <c r="B248" s="203">
        <f t="shared" si="36"/>
        <v>9</v>
      </c>
      <c r="C248" s="203">
        <f t="shared" si="37"/>
        <v>1</v>
      </c>
      <c r="D248" s="201">
        <f t="shared" si="38"/>
        <v>27.116099999999999</v>
      </c>
      <c r="E248" s="201">
        <f t="shared" si="39"/>
        <v>36.5152</v>
      </c>
      <c r="F248" s="201">
        <f t="shared" si="40"/>
        <v>17.145487096774193</v>
      </c>
      <c r="G248" s="201">
        <f>SUM(D$2:D248)</f>
        <v>28169.111200000047</v>
      </c>
      <c r="H248" s="201">
        <f>SUM(E$2:E248)</f>
        <v>37865.424199999892</v>
      </c>
      <c r="I248" s="201">
        <f>SUM(F$2:F248)</f>
        <v>13406.618725483877</v>
      </c>
      <c r="J248" s="201">
        <f>Model!F$51</f>
        <v>23678.322499999998</v>
      </c>
      <c r="K248" s="201">
        <f>Model!G$51</f>
        <v>26052.648000000005</v>
      </c>
      <c r="L248" s="201">
        <f>Model!H$51</f>
        <v>27478.056499999995</v>
      </c>
      <c r="M248" s="201">
        <f>Model!I$51</f>
        <v>28903.236999999997</v>
      </c>
      <c r="N248" s="201">
        <f>Model!J$51</f>
        <v>29853.18</v>
      </c>
      <c r="O248" s="201">
        <f>Model!K$51</f>
        <v>0</v>
      </c>
      <c r="P248" s="201">
        <f>Model!L$51</f>
        <v>0</v>
      </c>
      <c r="Q248" s="201">
        <f>Model!M$51</f>
        <v>0</v>
      </c>
      <c r="R248" s="201">
        <f>Model!N$51</f>
        <v>0</v>
      </c>
      <c r="S248" s="201">
        <f>Model!R$51</f>
        <v>25000</v>
      </c>
      <c r="T248" s="204" t="str">
        <f t="shared" si="41"/>
        <v xml:space="preserve">  </v>
      </c>
      <c r="U248" s="204" t="str">
        <f t="shared" si="42"/>
        <v xml:space="preserve">  </v>
      </c>
      <c r="V248" s="204" t="str">
        <f t="shared" si="43"/>
        <v/>
      </c>
      <c r="W248" s="204" t="str">
        <f t="shared" si="41"/>
        <v/>
      </c>
      <c r="X248" s="204" t="str">
        <f t="shared" si="44"/>
        <v/>
      </c>
      <c r="Y248" s="204" t="str">
        <f t="shared" si="44"/>
        <v xml:space="preserve">  </v>
      </c>
      <c r="Z248" s="204" t="str">
        <f t="shared" si="44"/>
        <v xml:space="preserve">  </v>
      </c>
      <c r="AA248" s="204" t="str">
        <f t="shared" si="34"/>
        <v xml:space="preserve">  </v>
      </c>
      <c r="AB248" s="204" t="str">
        <f t="shared" si="34"/>
        <v xml:space="preserve">  </v>
      </c>
      <c r="AC248" s="204" t="str">
        <f t="shared" si="34"/>
        <v xml:space="preserve">  </v>
      </c>
    </row>
    <row r="249" spans="1:29" x14ac:dyDescent="0.3">
      <c r="A249" s="202">
        <v>41522</v>
      </c>
      <c r="B249" s="203">
        <f t="shared" si="36"/>
        <v>9</v>
      </c>
      <c r="C249" s="203">
        <f t="shared" si="37"/>
        <v>1</v>
      </c>
      <c r="D249" s="201">
        <f t="shared" si="38"/>
        <v>27.116099999999999</v>
      </c>
      <c r="E249" s="201">
        <f t="shared" si="39"/>
        <v>36.5152</v>
      </c>
      <c r="F249" s="201">
        <f t="shared" si="40"/>
        <v>17.145487096774193</v>
      </c>
      <c r="G249" s="201">
        <f>SUM(D$2:D249)</f>
        <v>28196.227300000046</v>
      </c>
      <c r="H249" s="201">
        <f>SUM(E$2:E249)</f>
        <v>37901.939399999894</v>
      </c>
      <c r="I249" s="201">
        <f>SUM(F$2:F249)</f>
        <v>13423.764212580651</v>
      </c>
      <c r="J249" s="201">
        <f>Model!F$51</f>
        <v>23678.322499999998</v>
      </c>
      <c r="K249" s="201">
        <f>Model!G$51</f>
        <v>26052.648000000005</v>
      </c>
      <c r="L249" s="201">
        <f>Model!H$51</f>
        <v>27478.056499999995</v>
      </c>
      <c r="M249" s="201">
        <f>Model!I$51</f>
        <v>28903.236999999997</v>
      </c>
      <c r="N249" s="201">
        <f>Model!J$51</f>
        <v>29853.18</v>
      </c>
      <c r="O249" s="201">
        <f>Model!K$51</f>
        <v>0</v>
      </c>
      <c r="P249" s="201">
        <f>Model!L$51</f>
        <v>0</v>
      </c>
      <c r="Q249" s="201">
        <f>Model!M$51</f>
        <v>0</v>
      </c>
      <c r="R249" s="201">
        <f>Model!N$51</f>
        <v>0</v>
      </c>
      <c r="S249" s="201">
        <f>Model!R$51</f>
        <v>25000</v>
      </c>
      <c r="T249" s="204" t="str">
        <f t="shared" si="41"/>
        <v xml:space="preserve">  </v>
      </c>
      <c r="U249" s="204" t="str">
        <f t="shared" si="42"/>
        <v xml:space="preserve">  </v>
      </c>
      <c r="V249" s="204" t="str">
        <f t="shared" si="43"/>
        <v/>
      </c>
      <c r="W249" s="204" t="str">
        <f t="shared" si="41"/>
        <v/>
      </c>
      <c r="X249" s="204" t="str">
        <f t="shared" si="44"/>
        <v/>
      </c>
      <c r="Y249" s="204" t="str">
        <f t="shared" si="44"/>
        <v xml:space="preserve">  </v>
      </c>
      <c r="Z249" s="204" t="str">
        <f t="shared" si="44"/>
        <v xml:space="preserve">  </v>
      </c>
      <c r="AA249" s="204" t="str">
        <f t="shared" si="34"/>
        <v xml:space="preserve">  </v>
      </c>
      <c r="AB249" s="204" t="str">
        <f t="shared" si="34"/>
        <v xml:space="preserve">  </v>
      </c>
      <c r="AC249" s="204" t="str">
        <f t="shared" si="34"/>
        <v xml:space="preserve">  </v>
      </c>
    </row>
    <row r="250" spans="1:29" x14ac:dyDescent="0.3">
      <c r="A250" s="202">
        <v>41523</v>
      </c>
      <c r="B250" s="203">
        <f t="shared" si="36"/>
        <v>9</v>
      </c>
      <c r="C250" s="203">
        <f t="shared" si="37"/>
        <v>1</v>
      </c>
      <c r="D250" s="201">
        <f t="shared" si="38"/>
        <v>27.116099999999999</v>
      </c>
      <c r="E250" s="201">
        <f t="shared" si="39"/>
        <v>36.5152</v>
      </c>
      <c r="F250" s="201">
        <f t="shared" si="40"/>
        <v>17.145487096774193</v>
      </c>
      <c r="G250" s="201">
        <f>SUM(D$2:D250)</f>
        <v>28223.343400000045</v>
      </c>
      <c r="H250" s="201">
        <f>SUM(E$2:E250)</f>
        <v>37938.454599999895</v>
      </c>
      <c r="I250" s="201">
        <f>SUM(F$2:F250)</f>
        <v>13440.909699677424</v>
      </c>
      <c r="J250" s="201">
        <f>Model!F$51</f>
        <v>23678.322499999998</v>
      </c>
      <c r="K250" s="201">
        <f>Model!G$51</f>
        <v>26052.648000000005</v>
      </c>
      <c r="L250" s="201">
        <f>Model!H$51</f>
        <v>27478.056499999995</v>
      </c>
      <c r="M250" s="201">
        <f>Model!I$51</f>
        <v>28903.236999999997</v>
      </c>
      <c r="N250" s="201">
        <f>Model!J$51</f>
        <v>29853.18</v>
      </c>
      <c r="O250" s="201">
        <f>Model!K$51</f>
        <v>0</v>
      </c>
      <c r="P250" s="201">
        <f>Model!L$51</f>
        <v>0</v>
      </c>
      <c r="Q250" s="201">
        <f>Model!M$51</f>
        <v>0</v>
      </c>
      <c r="R250" s="201">
        <f>Model!N$51</f>
        <v>0</v>
      </c>
      <c r="S250" s="201">
        <f>Model!R$51</f>
        <v>25000</v>
      </c>
      <c r="T250" s="204" t="str">
        <f t="shared" si="41"/>
        <v xml:space="preserve">  </v>
      </c>
      <c r="U250" s="204" t="str">
        <f t="shared" si="42"/>
        <v xml:space="preserve">  </v>
      </c>
      <c r="V250" s="204" t="str">
        <f t="shared" si="43"/>
        <v/>
      </c>
      <c r="W250" s="204" t="str">
        <f t="shared" si="41"/>
        <v/>
      </c>
      <c r="X250" s="204" t="str">
        <f t="shared" si="44"/>
        <v/>
      </c>
      <c r="Y250" s="204" t="str">
        <f t="shared" si="44"/>
        <v xml:space="preserve">  </v>
      </c>
      <c r="Z250" s="204" t="str">
        <f t="shared" si="44"/>
        <v xml:space="preserve">  </v>
      </c>
      <c r="AA250" s="204" t="str">
        <f t="shared" si="34"/>
        <v xml:space="preserve">  </v>
      </c>
      <c r="AB250" s="204" t="str">
        <f t="shared" si="34"/>
        <v xml:space="preserve">  </v>
      </c>
      <c r="AC250" s="204" t="str">
        <f t="shared" si="34"/>
        <v xml:space="preserve">  </v>
      </c>
    </row>
    <row r="251" spans="1:29" x14ac:dyDescent="0.3">
      <c r="A251" s="202">
        <v>41524</v>
      </c>
      <c r="B251" s="203">
        <f t="shared" si="36"/>
        <v>9</v>
      </c>
      <c r="C251" s="203">
        <f t="shared" si="37"/>
        <v>1</v>
      </c>
      <c r="D251" s="201">
        <f t="shared" si="38"/>
        <v>27.116099999999999</v>
      </c>
      <c r="E251" s="201">
        <f t="shared" si="39"/>
        <v>36.5152</v>
      </c>
      <c r="F251" s="201">
        <f t="shared" si="40"/>
        <v>17.145487096774193</v>
      </c>
      <c r="G251" s="201">
        <f>SUM(D$2:D251)</f>
        <v>28250.459500000044</v>
      </c>
      <c r="H251" s="201">
        <f>SUM(E$2:E251)</f>
        <v>37974.969799999897</v>
      </c>
      <c r="I251" s="201">
        <f>SUM(F$2:F251)</f>
        <v>13458.055186774198</v>
      </c>
      <c r="J251" s="201">
        <f>Model!F$51</f>
        <v>23678.322499999998</v>
      </c>
      <c r="K251" s="201">
        <f>Model!G$51</f>
        <v>26052.648000000005</v>
      </c>
      <c r="L251" s="201">
        <f>Model!H$51</f>
        <v>27478.056499999995</v>
      </c>
      <c r="M251" s="201">
        <f>Model!I$51</f>
        <v>28903.236999999997</v>
      </c>
      <c r="N251" s="201">
        <f>Model!J$51</f>
        <v>29853.18</v>
      </c>
      <c r="O251" s="201">
        <f>Model!K$51</f>
        <v>0</v>
      </c>
      <c r="P251" s="201">
        <f>Model!L$51</f>
        <v>0</v>
      </c>
      <c r="Q251" s="201">
        <f>Model!M$51</f>
        <v>0</v>
      </c>
      <c r="R251" s="201">
        <f>Model!N$51</f>
        <v>0</v>
      </c>
      <c r="S251" s="201">
        <f>Model!R$51</f>
        <v>25000</v>
      </c>
      <c r="T251" s="204" t="str">
        <f t="shared" si="41"/>
        <v xml:space="preserve">  </v>
      </c>
      <c r="U251" s="204" t="str">
        <f t="shared" si="42"/>
        <v xml:space="preserve">  </v>
      </c>
      <c r="V251" s="204" t="str">
        <f t="shared" si="43"/>
        <v/>
      </c>
      <c r="W251" s="204" t="str">
        <f t="shared" si="41"/>
        <v/>
      </c>
      <c r="X251" s="204" t="str">
        <f t="shared" si="44"/>
        <v/>
      </c>
      <c r="Y251" s="204" t="str">
        <f t="shared" si="44"/>
        <v xml:space="preserve">  </v>
      </c>
      <c r="Z251" s="204" t="str">
        <f t="shared" si="44"/>
        <v xml:space="preserve">  </v>
      </c>
      <c r="AA251" s="204" t="str">
        <f t="shared" si="34"/>
        <v xml:space="preserve">  </v>
      </c>
      <c r="AB251" s="204" t="str">
        <f t="shared" si="34"/>
        <v xml:space="preserve">  </v>
      </c>
      <c r="AC251" s="204" t="str">
        <f t="shared" si="34"/>
        <v xml:space="preserve">  </v>
      </c>
    </row>
    <row r="252" spans="1:29" x14ac:dyDescent="0.3">
      <c r="A252" s="202">
        <v>41525</v>
      </c>
      <c r="B252" s="203">
        <f t="shared" si="36"/>
        <v>9</v>
      </c>
      <c r="C252" s="203">
        <f t="shared" si="37"/>
        <v>1</v>
      </c>
      <c r="D252" s="201">
        <f t="shared" si="38"/>
        <v>27.116099999999999</v>
      </c>
      <c r="E252" s="201">
        <f t="shared" si="39"/>
        <v>36.5152</v>
      </c>
      <c r="F252" s="201">
        <f t="shared" si="40"/>
        <v>17.145487096774193</v>
      </c>
      <c r="G252" s="201">
        <f>SUM(D$2:D252)</f>
        <v>28277.575600000044</v>
      </c>
      <c r="H252" s="201">
        <f>SUM(E$2:E252)</f>
        <v>38011.484999999899</v>
      </c>
      <c r="I252" s="201">
        <f>SUM(F$2:F252)</f>
        <v>13475.200673870972</v>
      </c>
      <c r="J252" s="201">
        <f>Model!F$51</f>
        <v>23678.322499999998</v>
      </c>
      <c r="K252" s="201">
        <f>Model!G$51</f>
        <v>26052.648000000005</v>
      </c>
      <c r="L252" s="201">
        <f>Model!H$51</f>
        <v>27478.056499999995</v>
      </c>
      <c r="M252" s="201">
        <f>Model!I$51</f>
        <v>28903.236999999997</v>
      </c>
      <c r="N252" s="201">
        <f>Model!J$51</f>
        <v>29853.18</v>
      </c>
      <c r="O252" s="201">
        <f>Model!K$51</f>
        <v>0</v>
      </c>
      <c r="P252" s="201">
        <f>Model!L$51</f>
        <v>0</v>
      </c>
      <c r="Q252" s="201">
        <f>Model!M$51</f>
        <v>0</v>
      </c>
      <c r="R252" s="201">
        <f>Model!N$51</f>
        <v>0</v>
      </c>
      <c r="S252" s="201">
        <f>Model!R$51</f>
        <v>25000</v>
      </c>
      <c r="T252" s="204" t="str">
        <f t="shared" si="41"/>
        <v xml:space="preserve">  </v>
      </c>
      <c r="U252" s="204" t="str">
        <f t="shared" si="42"/>
        <v xml:space="preserve">  </v>
      </c>
      <c r="V252" s="204" t="str">
        <f t="shared" si="43"/>
        <v/>
      </c>
      <c r="W252" s="204" t="str">
        <f t="shared" si="41"/>
        <v/>
      </c>
      <c r="X252" s="204" t="str">
        <f t="shared" si="44"/>
        <v/>
      </c>
      <c r="Y252" s="204" t="str">
        <f t="shared" si="44"/>
        <v xml:space="preserve">  </v>
      </c>
      <c r="Z252" s="204" t="str">
        <f t="shared" si="44"/>
        <v xml:space="preserve">  </v>
      </c>
      <c r="AA252" s="204" t="str">
        <f t="shared" si="34"/>
        <v xml:space="preserve">  </v>
      </c>
      <c r="AB252" s="204" t="str">
        <f t="shared" si="34"/>
        <v xml:space="preserve">  </v>
      </c>
      <c r="AC252" s="204" t="str">
        <f t="shared" si="34"/>
        <v xml:space="preserve">  </v>
      </c>
    </row>
    <row r="253" spans="1:29" x14ac:dyDescent="0.3">
      <c r="A253" s="202">
        <v>41526</v>
      </c>
      <c r="B253" s="203">
        <f t="shared" si="36"/>
        <v>9</v>
      </c>
      <c r="C253" s="203">
        <f t="shared" si="37"/>
        <v>1</v>
      </c>
      <c r="D253" s="201">
        <f t="shared" si="38"/>
        <v>27.116099999999999</v>
      </c>
      <c r="E253" s="201">
        <f t="shared" si="39"/>
        <v>36.5152</v>
      </c>
      <c r="F253" s="201">
        <f t="shared" si="40"/>
        <v>17.145487096774193</v>
      </c>
      <c r="G253" s="201">
        <f>SUM(D$2:D253)</f>
        <v>28304.691700000043</v>
      </c>
      <c r="H253" s="201">
        <f>SUM(E$2:E253)</f>
        <v>38048.0001999999</v>
      </c>
      <c r="I253" s="201">
        <f>SUM(F$2:F253)</f>
        <v>13492.346160967745</v>
      </c>
      <c r="J253" s="201">
        <f>Model!F$51</f>
        <v>23678.322499999998</v>
      </c>
      <c r="K253" s="201">
        <f>Model!G$51</f>
        <v>26052.648000000005</v>
      </c>
      <c r="L253" s="201">
        <f>Model!H$51</f>
        <v>27478.056499999995</v>
      </c>
      <c r="M253" s="201">
        <f>Model!I$51</f>
        <v>28903.236999999997</v>
      </c>
      <c r="N253" s="201">
        <f>Model!J$51</f>
        <v>29853.18</v>
      </c>
      <c r="O253" s="201">
        <f>Model!K$51</f>
        <v>0</v>
      </c>
      <c r="P253" s="201">
        <f>Model!L$51</f>
        <v>0</v>
      </c>
      <c r="Q253" s="201">
        <f>Model!M$51</f>
        <v>0</v>
      </c>
      <c r="R253" s="201">
        <f>Model!N$51</f>
        <v>0</v>
      </c>
      <c r="S253" s="201">
        <f>Model!R$51</f>
        <v>25000</v>
      </c>
      <c r="T253" s="204" t="str">
        <f t="shared" si="41"/>
        <v xml:space="preserve">  </v>
      </c>
      <c r="U253" s="204" t="str">
        <f t="shared" si="42"/>
        <v xml:space="preserve">  </v>
      </c>
      <c r="V253" s="204" t="str">
        <f t="shared" si="43"/>
        <v/>
      </c>
      <c r="W253" s="204" t="str">
        <f t="shared" si="41"/>
        <v/>
      </c>
      <c r="X253" s="204" t="str">
        <f t="shared" si="44"/>
        <v/>
      </c>
      <c r="Y253" s="204" t="str">
        <f t="shared" si="44"/>
        <v xml:space="preserve">  </v>
      </c>
      <c r="Z253" s="204" t="str">
        <f t="shared" si="44"/>
        <v xml:space="preserve">  </v>
      </c>
      <c r="AA253" s="204" t="str">
        <f t="shared" si="44"/>
        <v xml:space="preserve">  </v>
      </c>
      <c r="AB253" s="204" t="str">
        <f t="shared" si="44"/>
        <v xml:space="preserve">  </v>
      </c>
      <c r="AC253" s="204" t="str">
        <f t="shared" si="44"/>
        <v xml:space="preserve">  </v>
      </c>
    </row>
    <row r="254" spans="1:29" x14ac:dyDescent="0.3">
      <c r="A254" s="202">
        <v>41527</v>
      </c>
      <c r="B254" s="203">
        <f t="shared" si="36"/>
        <v>9</v>
      </c>
      <c r="C254" s="203">
        <f t="shared" si="37"/>
        <v>1</v>
      </c>
      <c r="D254" s="201">
        <f t="shared" si="38"/>
        <v>27.116099999999999</v>
      </c>
      <c r="E254" s="201">
        <f t="shared" si="39"/>
        <v>36.5152</v>
      </c>
      <c r="F254" s="201">
        <f t="shared" si="40"/>
        <v>17.145487096774193</v>
      </c>
      <c r="G254" s="201">
        <f>SUM(D$2:D254)</f>
        <v>28331.807800000042</v>
      </c>
      <c r="H254" s="201">
        <f>SUM(E$2:E254)</f>
        <v>38084.515399999902</v>
      </c>
      <c r="I254" s="201">
        <f>SUM(F$2:F254)</f>
        <v>13509.491648064519</v>
      </c>
      <c r="J254" s="201">
        <f>Model!F$51</f>
        <v>23678.322499999998</v>
      </c>
      <c r="K254" s="201">
        <f>Model!G$51</f>
        <v>26052.648000000005</v>
      </c>
      <c r="L254" s="201">
        <f>Model!H$51</f>
        <v>27478.056499999995</v>
      </c>
      <c r="M254" s="201">
        <f>Model!I$51</f>
        <v>28903.236999999997</v>
      </c>
      <c r="N254" s="201">
        <f>Model!J$51</f>
        <v>29853.18</v>
      </c>
      <c r="O254" s="201">
        <f>Model!K$51</f>
        <v>0</v>
      </c>
      <c r="P254" s="201">
        <f>Model!L$51</f>
        <v>0</v>
      </c>
      <c r="Q254" s="201">
        <f>Model!M$51</f>
        <v>0</v>
      </c>
      <c r="R254" s="201">
        <f>Model!N$51</f>
        <v>0</v>
      </c>
      <c r="S254" s="201">
        <f>Model!R$51</f>
        <v>25000</v>
      </c>
      <c r="T254" s="204" t="str">
        <f t="shared" si="41"/>
        <v xml:space="preserve">  </v>
      </c>
      <c r="U254" s="204" t="str">
        <f t="shared" si="42"/>
        <v xml:space="preserve">  </v>
      </c>
      <c r="V254" s="204" t="str">
        <f t="shared" si="43"/>
        <v/>
      </c>
      <c r="W254" s="204" t="str">
        <f t="shared" si="41"/>
        <v/>
      </c>
      <c r="X254" s="204" t="str">
        <f t="shared" si="44"/>
        <v/>
      </c>
      <c r="Y254" s="204" t="str">
        <f t="shared" si="44"/>
        <v xml:space="preserve">  </v>
      </c>
      <c r="Z254" s="204" t="str">
        <f t="shared" si="44"/>
        <v xml:space="preserve">  </v>
      </c>
      <c r="AA254" s="204" t="str">
        <f t="shared" si="44"/>
        <v xml:space="preserve">  </v>
      </c>
      <c r="AB254" s="204" t="str">
        <f t="shared" si="44"/>
        <v xml:space="preserve">  </v>
      </c>
      <c r="AC254" s="204" t="str">
        <f t="shared" si="44"/>
        <v xml:space="preserve">  </v>
      </c>
    </row>
    <row r="255" spans="1:29" x14ac:dyDescent="0.3">
      <c r="A255" s="202">
        <v>41528</v>
      </c>
      <c r="B255" s="203">
        <f t="shared" si="36"/>
        <v>9</v>
      </c>
      <c r="C255" s="203">
        <f t="shared" si="37"/>
        <v>1</v>
      </c>
      <c r="D255" s="201">
        <f t="shared" si="38"/>
        <v>27.116099999999999</v>
      </c>
      <c r="E255" s="201">
        <f t="shared" si="39"/>
        <v>36.5152</v>
      </c>
      <c r="F255" s="201">
        <f t="shared" si="40"/>
        <v>17.145487096774193</v>
      </c>
      <c r="G255" s="201">
        <f>SUM(D$2:D255)</f>
        <v>28358.923900000042</v>
      </c>
      <c r="H255" s="201">
        <f>SUM(E$2:E255)</f>
        <v>38121.030599999904</v>
      </c>
      <c r="I255" s="201">
        <f>SUM(F$2:F255)</f>
        <v>13526.637135161292</v>
      </c>
      <c r="J255" s="201">
        <f>Model!F$51</f>
        <v>23678.322499999998</v>
      </c>
      <c r="K255" s="201">
        <f>Model!G$51</f>
        <v>26052.648000000005</v>
      </c>
      <c r="L255" s="201">
        <f>Model!H$51</f>
        <v>27478.056499999995</v>
      </c>
      <c r="M255" s="201">
        <f>Model!I$51</f>
        <v>28903.236999999997</v>
      </c>
      <c r="N255" s="201">
        <f>Model!J$51</f>
        <v>29853.18</v>
      </c>
      <c r="O255" s="201">
        <f>Model!K$51</f>
        <v>0</v>
      </c>
      <c r="P255" s="201">
        <f>Model!L$51</f>
        <v>0</v>
      </c>
      <c r="Q255" s="201">
        <f>Model!M$51</f>
        <v>0</v>
      </c>
      <c r="R255" s="201">
        <f>Model!N$51</f>
        <v>0</v>
      </c>
      <c r="S255" s="201">
        <f>Model!R$51</f>
        <v>25000</v>
      </c>
      <c r="T255" s="204" t="str">
        <f t="shared" si="41"/>
        <v xml:space="preserve">  </v>
      </c>
      <c r="U255" s="204" t="str">
        <f t="shared" si="42"/>
        <v xml:space="preserve">  </v>
      </c>
      <c r="V255" s="204" t="str">
        <f t="shared" si="43"/>
        <v/>
      </c>
      <c r="W255" s="204" t="str">
        <f t="shared" si="41"/>
        <v/>
      </c>
      <c r="X255" s="204" t="str">
        <f t="shared" si="44"/>
        <v/>
      </c>
      <c r="Y255" s="204" t="str">
        <f t="shared" si="44"/>
        <v xml:space="preserve">  </v>
      </c>
      <c r="Z255" s="204" t="str">
        <f t="shared" si="44"/>
        <v xml:space="preserve">  </v>
      </c>
      <c r="AA255" s="204" t="str">
        <f t="shared" si="44"/>
        <v xml:space="preserve">  </v>
      </c>
      <c r="AB255" s="204" t="str">
        <f t="shared" si="44"/>
        <v xml:space="preserve">  </v>
      </c>
      <c r="AC255" s="204" t="str">
        <f t="shared" si="44"/>
        <v xml:space="preserve">  </v>
      </c>
    </row>
    <row r="256" spans="1:29" x14ac:dyDescent="0.3">
      <c r="A256" s="202">
        <v>41529</v>
      </c>
      <c r="B256" s="203">
        <f t="shared" si="36"/>
        <v>9</v>
      </c>
      <c r="C256" s="203">
        <f t="shared" si="37"/>
        <v>1</v>
      </c>
      <c r="D256" s="201">
        <f t="shared" si="38"/>
        <v>27.116099999999999</v>
      </c>
      <c r="E256" s="201">
        <f t="shared" si="39"/>
        <v>36.5152</v>
      </c>
      <c r="F256" s="201">
        <f t="shared" si="40"/>
        <v>17.145487096774193</v>
      </c>
      <c r="G256" s="201">
        <f>SUM(D$2:D256)</f>
        <v>28386.040000000041</v>
      </c>
      <c r="H256" s="201">
        <f>SUM(E$2:E256)</f>
        <v>38157.545799999905</v>
      </c>
      <c r="I256" s="201">
        <f>SUM(F$2:F256)</f>
        <v>13543.782622258066</v>
      </c>
      <c r="J256" s="201">
        <f>Model!F$51</f>
        <v>23678.322499999998</v>
      </c>
      <c r="K256" s="201">
        <f>Model!G$51</f>
        <v>26052.648000000005</v>
      </c>
      <c r="L256" s="201">
        <f>Model!H$51</f>
        <v>27478.056499999995</v>
      </c>
      <c r="M256" s="201">
        <f>Model!I$51</f>
        <v>28903.236999999997</v>
      </c>
      <c r="N256" s="201">
        <f>Model!J$51</f>
        <v>29853.18</v>
      </c>
      <c r="O256" s="201">
        <f>Model!K$51</f>
        <v>0</v>
      </c>
      <c r="P256" s="201">
        <f>Model!L$51</f>
        <v>0</v>
      </c>
      <c r="Q256" s="201">
        <f>Model!M$51</f>
        <v>0</v>
      </c>
      <c r="R256" s="201">
        <f>Model!N$51</f>
        <v>0</v>
      </c>
      <c r="S256" s="201">
        <f>Model!R$51</f>
        <v>25000</v>
      </c>
      <c r="T256" s="204" t="str">
        <f t="shared" si="41"/>
        <v xml:space="preserve">  </v>
      </c>
      <c r="U256" s="204" t="str">
        <f t="shared" si="42"/>
        <v xml:space="preserve">  </v>
      </c>
      <c r="V256" s="204" t="str">
        <f t="shared" si="43"/>
        <v/>
      </c>
      <c r="W256" s="204" t="str">
        <f t="shared" si="41"/>
        <v/>
      </c>
      <c r="X256" s="204" t="str">
        <f t="shared" si="44"/>
        <v/>
      </c>
      <c r="Y256" s="204" t="str">
        <f t="shared" si="44"/>
        <v xml:space="preserve">  </v>
      </c>
      <c r="Z256" s="204" t="str">
        <f t="shared" si="44"/>
        <v xml:space="preserve">  </v>
      </c>
      <c r="AA256" s="204" t="str">
        <f t="shared" si="44"/>
        <v xml:space="preserve">  </v>
      </c>
      <c r="AB256" s="204" t="str">
        <f t="shared" si="44"/>
        <v xml:space="preserve">  </v>
      </c>
      <c r="AC256" s="204" t="str">
        <f t="shared" si="44"/>
        <v xml:space="preserve">  </v>
      </c>
    </row>
    <row r="257" spans="1:29" x14ac:dyDescent="0.3">
      <c r="A257" s="202">
        <v>41530</v>
      </c>
      <c r="B257" s="203">
        <f t="shared" si="36"/>
        <v>9</v>
      </c>
      <c r="C257" s="203">
        <f t="shared" si="37"/>
        <v>1</v>
      </c>
      <c r="D257" s="201">
        <f t="shared" si="38"/>
        <v>27.116099999999999</v>
      </c>
      <c r="E257" s="201">
        <f t="shared" si="39"/>
        <v>36.5152</v>
      </c>
      <c r="F257" s="201">
        <f t="shared" si="40"/>
        <v>17.145487096774193</v>
      </c>
      <c r="G257" s="201">
        <f>SUM(D$2:D257)</f>
        <v>28413.15610000004</v>
      </c>
      <c r="H257" s="201">
        <f>SUM(E$2:E257)</f>
        <v>38194.060999999907</v>
      </c>
      <c r="I257" s="201">
        <f>SUM(F$2:F257)</f>
        <v>13560.92810935484</v>
      </c>
      <c r="J257" s="201">
        <f>Model!F$51</f>
        <v>23678.322499999998</v>
      </c>
      <c r="K257" s="201">
        <f>Model!G$51</f>
        <v>26052.648000000005</v>
      </c>
      <c r="L257" s="201">
        <f>Model!H$51</f>
        <v>27478.056499999995</v>
      </c>
      <c r="M257" s="201">
        <f>Model!I$51</f>
        <v>28903.236999999997</v>
      </c>
      <c r="N257" s="201">
        <f>Model!J$51</f>
        <v>29853.18</v>
      </c>
      <c r="O257" s="201">
        <f>Model!K$51</f>
        <v>0</v>
      </c>
      <c r="P257" s="201">
        <f>Model!L$51</f>
        <v>0</v>
      </c>
      <c r="Q257" s="201">
        <f>Model!M$51</f>
        <v>0</v>
      </c>
      <c r="R257" s="201">
        <f>Model!N$51</f>
        <v>0</v>
      </c>
      <c r="S257" s="201">
        <f>Model!R$51</f>
        <v>25000</v>
      </c>
      <c r="T257" s="204" t="str">
        <f t="shared" si="41"/>
        <v xml:space="preserve">  </v>
      </c>
      <c r="U257" s="204" t="str">
        <f t="shared" si="42"/>
        <v xml:space="preserve">  </v>
      </c>
      <c r="V257" s="204" t="str">
        <f t="shared" si="43"/>
        <v/>
      </c>
      <c r="W257" s="204" t="str">
        <f t="shared" si="41"/>
        <v/>
      </c>
      <c r="X257" s="204" t="str">
        <f t="shared" si="44"/>
        <v/>
      </c>
      <c r="Y257" s="204" t="str">
        <f t="shared" si="44"/>
        <v xml:space="preserve">  </v>
      </c>
      <c r="Z257" s="204" t="str">
        <f t="shared" si="44"/>
        <v xml:space="preserve">  </v>
      </c>
      <c r="AA257" s="204" t="str">
        <f t="shared" si="44"/>
        <v xml:space="preserve">  </v>
      </c>
      <c r="AB257" s="204" t="str">
        <f t="shared" si="44"/>
        <v xml:space="preserve">  </v>
      </c>
      <c r="AC257" s="204" t="str">
        <f t="shared" si="44"/>
        <v xml:space="preserve">  </v>
      </c>
    </row>
    <row r="258" spans="1:29" x14ac:dyDescent="0.3">
      <c r="A258" s="202">
        <v>41531</v>
      </c>
      <c r="B258" s="203">
        <f t="shared" ref="B258:B321" si="45">MONTH(A258)</f>
        <v>9</v>
      </c>
      <c r="C258" s="203">
        <f t="shared" ref="C258:C321" si="46">IF(VLOOKUP($B258,$AE$2:$AF$15,2,FALSE)=0,1,IF(VLOOKUP($B258,$AE$2:$AF$15,2,FALSE)=VLOOKUP($B258,$AE$2:$AG$15,3,FALSE),0,IF(AND((VLOOKUP(($B258-1),$AE$2:$AF$15,2,FALSE)&gt;=1),VLOOKUP($B258,$AE$2:$AF$15,2,FALSE)&gt;=DAY(A258)),0,IF(AND((VLOOKUP(($B258+1),$AE$2:$AF$15,2,FALSE)&gt;=1),DAY(A258)&gt;(VLOOKUP($B258,$AE$2:$AG$15,3,FALSE)-VLOOKUP($B258,$AE$2:$AF$15,2,FALSE))),0,1))))</f>
        <v>1</v>
      </c>
      <c r="D258" s="201">
        <f t="shared" ref="D258:D321" si="47">IF(C258=0,0,VLOOKUP(B258,$AE$3:$AH$14,4,FALSE))</f>
        <v>27.116099999999999</v>
      </c>
      <c r="E258" s="201">
        <f t="shared" ref="E258:E322" si="48">IF(C258=0,0,VLOOKUP(B258,$AE$3:$AJ$14,5,FALSE))</f>
        <v>36.5152</v>
      </c>
      <c r="F258" s="201">
        <f t="shared" ref="F258:F322" si="49">IF(C258=0,0,VLOOKUP(B258,$AE$3:$AJ$14,6,FALSE))</f>
        <v>17.145487096774193</v>
      </c>
      <c r="G258" s="201">
        <f>SUM(D$2:D258)</f>
        <v>28440.272200000039</v>
      </c>
      <c r="H258" s="201">
        <f>SUM(E$2:E258)</f>
        <v>38230.576199999909</v>
      </c>
      <c r="I258" s="201">
        <f>SUM(F$2:F258)</f>
        <v>13578.073596451613</v>
      </c>
      <c r="J258" s="201">
        <f>Model!F$51</f>
        <v>23678.322499999998</v>
      </c>
      <c r="K258" s="201">
        <f>Model!G$51</f>
        <v>26052.648000000005</v>
      </c>
      <c r="L258" s="201">
        <f>Model!H$51</f>
        <v>27478.056499999995</v>
      </c>
      <c r="M258" s="201">
        <f>Model!I$51</f>
        <v>28903.236999999997</v>
      </c>
      <c r="N258" s="201">
        <f>Model!J$51</f>
        <v>29853.18</v>
      </c>
      <c r="O258" s="201">
        <f>Model!K$51</f>
        <v>0</v>
      </c>
      <c r="P258" s="201">
        <f>Model!L$51</f>
        <v>0</v>
      </c>
      <c r="Q258" s="201">
        <f>Model!M$51</f>
        <v>0</v>
      </c>
      <c r="R258" s="201">
        <f>Model!N$51</f>
        <v>0</v>
      </c>
      <c r="S258" s="201">
        <f>Model!R$51</f>
        <v>25000</v>
      </c>
      <c r="T258" s="204" t="str">
        <f t="shared" si="41"/>
        <v xml:space="preserve">  </v>
      </c>
      <c r="U258" s="204" t="str">
        <f t="shared" si="42"/>
        <v xml:space="preserve">  </v>
      </c>
      <c r="V258" s="204" t="str">
        <f t="shared" si="43"/>
        <v/>
      </c>
      <c r="W258" s="204" t="str">
        <f t="shared" ref="W258:AA321" si="50">IF(ISNUMBER(W257),"  ",IF(W257="  ","  ",IF($G258&gt;M258,$A258,"")))</f>
        <v/>
      </c>
      <c r="X258" s="204" t="str">
        <f t="shared" si="44"/>
        <v/>
      </c>
      <c r="Y258" s="204" t="str">
        <f t="shared" si="44"/>
        <v xml:space="preserve">  </v>
      </c>
      <c r="Z258" s="204" t="str">
        <f t="shared" si="44"/>
        <v xml:space="preserve">  </v>
      </c>
      <c r="AA258" s="204" t="str">
        <f t="shared" si="44"/>
        <v xml:space="preserve">  </v>
      </c>
      <c r="AB258" s="204" t="str">
        <f t="shared" si="44"/>
        <v xml:space="preserve">  </v>
      </c>
      <c r="AC258" s="204" t="str">
        <f t="shared" si="44"/>
        <v xml:space="preserve">  </v>
      </c>
    </row>
    <row r="259" spans="1:29" x14ac:dyDescent="0.3">
      <c r="A259" s="202">
        <v>41532</v>
      </c>
      <c r="B259" s="203">
        <f t="shared" si="45"/>
        <v>9</v>
      </c>
      <c r="C259" s="203">
        <f t="shared" si="46"/>
        <v>1</v>
      </c>
      <c r="D259" s="201">
        <f t="shared" si="47"/>
        <v>27.116099999999999</v>
      </c>
      <c r="E259" s="201">
        <f t="shared" si="48"/>
        <v>36.5152</v>
      </c>
      <c r="F259" s="201">
        <f t="shared" si="49"/>
        <v>17.145487096774193</v>
      </c>
      <c r="G259" s="201">
        <f>SUM(D$2:D259)</f>
        <v>28467.388300000039</v>
      </c>
      <c r="H259" s="201">
        <f>SUM(E$2:E259)</f>
        <v>38267.09139999991</v>
      </c>
      <c r="I259" s="201">
        <f>SUM(F$2:F259)</f>
        <v>13595.219083548387</v>
      </c>
      <c r="J259" s="201">
        <f>Model!F$51</f>
        <v>23678.322499999998</v>
      </c>
      <c r="K259" s="201">
        <f>Model!G$51</f>
        <v>26052.648000000005</v>
      </c>
      <c r="L259" s="201">
        <f>Model!H$51</f>
        <v>27478.056499999995</v>
      </c>
      <c r="M259" s="201">
        <f>Model!I$51</f>
        <v>28903.236999999997</v>
      </c>
      <c r="N259" s="201">
        <f>Model!J$51</f>
        <v>29853.18</v>
      </c>
      <c r="O259" s="201">
        <f>Model!K$51</f>
        <v>0</v>
      </c>
      <c r="P259" s="201">
        <f>Model!L$51</f>
        <v>0</v>
      </c>
      <c r="Q259" s="201">
        <f>Model!M$51</f>
        <v>0</v>
      </c>
      <c r="R259" s="201">
        <f>Model!N$51</f>
        <v>0</v>
      </c>
      <c r="S259" s="201">
        <f>Model!R$51</f>
        <v>25000</v>
      </c>
      <c r="T259" s="204" t="str">
        <f t="shared" ref="T259:T290" si="51">IF(ISNUMBER(T258),"  ",IF(T258="  ","  ",IF($G259&gt;J259,$A259,"")))</f>
        <v xml:space="preserve">  </v>
      </c>
      <c r="U259" s="204" t="str">
        <f t="shared" ref="U259:U322" si="52">IF(ISNUMBER(U258),"  ",IF(U258="  ","  ",IF($G259&gt;L259,$A259,"")))</f>
        <v xml:space="preserve">  </v>
      </c>
      <c r="V259" s="204" t="str">
        <f t="shared" ref="V259:V322" si="53">IF(ISNUMBER(V258),"  ",IF(V258="  ","  ",IF($G259&gt;N259,$A259,"")))</f>
        <v/>
      </c>
      <c r="W259" s="204" t="str">
        <f t="shared" si="50"/>
        <v/>
      </c>
      <c r="X259" s="204" t="str">
        <f t="shared" si="50"/>
        <v/>
      </c>
      <c r="Y259" s="204" t="str">
        <f t="shared" si="50"/>
        <v xml:space="preserve">  </v>
      </c>
      <c r="Z259" s="204" t="str">
        <f t="shared" si="50"/>
        <v xml:space="preserve">  </v>
      </c>
      <c r="AA259" s="204" t="str">
        <f t="shared" si="50"/>
        <v xml:space="preserve">  </v>
      </c>
      <c r="AB259" s="204" t="str">
        <f t="shared" ref="AB259:AC322" si="54">IF(ISNUMBER(AB258),"  ",IF(AB258="  ","  ",IF($G259&gt;R259,$A259,"")))</f>
        <v xml:space="preserve">  </v>
      </c>
      <c r="AC259" s="204" t="str">
        <f t="shared" si="54"/>
        <v xml:space="preserve">  </v>
      </c>
    </row>
    <row r="260" spans="1:29" x14ac:dyDescent="0.3">
      <c r="A260" s="202">
        <v>41533</v>
      </c>
      <c r="B260" s="203">
        <f t="shared" si="45"/>
        <v>9</v>
      </c>
      <c r="C260" s="203">
        <f t="shared" si="46"/>
        <v>1</v>
      </c>
      <c r="D260" s="201">
        <f t="shared" si="47"/>
        <v>27.116099999999999</v>
      </c>
      <c r="E260" s="201">
        <f t="shared" si="48"/>
        <v>36.5152</v>
      </c>
      <c r="F260" s="201">
        <f t="shared" si="49"/>
        <v>17.145487096774193</v>
      </c>
      <c r="G260" s="201">
        <f>SUM(D$2:D260)</f>
        <v>28494.504400000038</v>
      </c>
      <c r="H260" s="201">
        <f>SUM(E$2:E260)</f>
        <v>38303.606599999912</v>
      </c>
      <c r="I260" s="201">
        <f>SUM(F$2:F260)</f>
        <v>13612.364570645161</v>
      </c>
      <c r="J260" s="201">
        <f>Model!F$51</f>
        <v>23678.322499999998</v>
      </c>
      <c r="K260" s="201">
        <f>Model!G$51</f>
        <v>26052.648000000005</v>
      </c>
      <c r="L260" s="201">
        <f>Model!H$51</f>
        <v>27478.056499999995</v>
      </c>
      <c r="M260" s="201">
        <f>Model!I$51</f>
        <v>28903.236999999997</v>
      </c>
      <c r="N260" s="201">
        <f>Model!J$51</f>
        <v>29853.18</v>
      </c>
      <c r="O260" s="201">
        <f>Model!K$51</f>
        <v>0</v>
      </c>
      <c r="P260" s="201">
        <f>Model!L$51</f>
        <v>0</v>
      </c>
      <c r="Q260" s="201">
        <f>Model!M$51</f>
        <v>0</v>
      </c>
      <c r="R260" s="201">
        <f>Model!N$51</f>
        <v>0</v>
      </c>
      <c r="S260" s="201">
        <f>Model!R$51</f>
        <v>25000</v>
      </c>
      <c r="T260" s="204" t="str">
        <f t="shared" si="51"/>
        <v xml:space="preserve">  </v>
      </c>
      <c r="U260" s="204" t="str">
        <f t="shared" si="52"/>
        <v xml:space="preserve">  </v>
      </c>
      <c r="V260" s="204" t="str">
        <f t="shared" si="53"/>
        <v/>
      </c>
      <c r="W260" s="204" t="str">
        <f t="shared" si="50"/>
        <v/>
      </c>
      <c r="X260" s="204" t="str">
        <f t="shared" si="50"/>
        <v/>
      </c>
      <c r="Y260" s="204" t="str">
        <f t="shared" si="50"/>
        <v xml:space="preserve">  </v>
      </c>
      <c r="Z260" s="204" t="str">
        <f t="shared" si="50"/>
        <v xml:space="preserve">  </v>
      </c>
      <c r="AA260" s="204" t="str">
        <f t="shared" si="50"/>
        <v xml:space="preserve">  </v>
      </c>
      <c r="AB260" s="204" t="str">
        <f t="shared" si="54"/>
        <v xml:space="preserve">  </v>
      </c>
      <c r="AC260" s="204" t="str">
        <f t="shared" si="54"/>
        <v xml:space="preserve">  </v>
      </c>
    </row>
    <row r="261" spans="1:29" x14ac:dyDescent="0.3">
      <c r="A261" s="202">
        <v>41534</v>
      </c>
      <c r="B261" s="203">
        <f t="shared" si="45"/>
        <v>9</v>
      </c>
      <c r="C261" s="203">
        <f t="shared" si="46"/>
        <v>1</v>
      </c>
      <c r="D261" s="201">
        <f t="shared" si="47"/>
        <v>27.116099999999999</v>
      </c>
      <c r="E261" s="201">
        <f t="shared" si="48"/>
        <v>36.5152</v>
      </c>
      <c r="F261" s="201">
        <f t="shared" si="49"/>
        <v>17.145487096774193</v>
      </c>
      <c r="G261" s="201">
        <f>SUM(D$2:D261)</f>
        <v>28521.620500000037</v>
      </c>
      <c r="H261" s="201">
        <f>SUM(E$2:E261)</f>
        <v>38340.121799999913</v>
      </c>
      <c r="I261" s="201">
        <f>SUM(F$2:F261)</f>
        <v>13629.510057741934</v>
      </c>
      <c r="J261" s="201">
        <f>Model!F$51</f>
        <v>23678.322499999998</v>
      </c>
      <c r="K261" s="201">
        <f>Model!G$51</f>
        <v>26052.648000000005</v>
      </c>
      <c r="L261" s="201">
        <f>Model!H$51</f>
        <v>27478.056499999995</v>
      </c>
      <c r="M261" s="201">
        <f>Model!I$51</f>
        <v>28903.236999999997</v>
      </c>
      <c r="N261" s="201">
        <f>Model!J$51</f>
        <v>29853.18</v>
      </c>
      <c r="O261" s="201">
        <f>Model!K$51</f>
        <v>0</v>
      </c>
      <c r="P261" s="201">
        <f>Model!L$51</f>
        <v>0</v>
      </c>
      <c r="Q261" s="201">
        <f>Model!M$51</f>
        <v>0</v>
      </c>
      <c r="R261" s="201">
        <f>Model!N$51</f>
        <v>0</v>
      </c>
      <c r="S261" s="201">
        <f>Model!R$51</f>
        <v>25000</v>
      </c>
      <c r="T261" s="204" t="str">
        <f t="shared" si="51"/>
        <v xml:space="preserve">  </v>
      </c>
      <c r="U261" s="204" t="str">
        <f t="shared" si="52"/>
        <v xml:space="preserve">  </v>
      </c>
      <c r="V261" s="204" t="str">
        <f t="shared" si="53"/>
        <v/>
      </c>
      <c r="W261" s="204" t="str">
        <f t="shared" si="50"/>
        <v/>
      </c>
      <c r="X261" s="204" t="str">
        <f t="shared" si="50"/>
        <v/>
      </c>
      <c r="Y261" s="204" t="str">
        <f t="shared" si="50"/>
        <v xml:space="preserve">  </v>
      </c>
      <c r="Z261" s="204" t="str">
        <f t="shared" si="50"/>
        <v xml:space="preserve">  </v>
      </c>
      <c r="AA261" s="204" t="str">
        <f t="shared" ref="AA261:AA292" si="55">IF(ISNUMBER(AA260),"  ",IF(AA260="  ","  ",IF($G261&gt;Q261,$A261,"")))</f>
        <v xml:space="preserve">  </v>
      </c>
      <c r="AB261" s="204" t="str">
        <f t="shared" si="54"/>
        <v xml:space="preserve">  </v>
      </c>
      <c r="AC261" s="204" t="str">
        <f t="shared" si="54"/>
        <v xml:space="preserve">  </v>
      </c>
    </row>
    <row r="262" spans="1:29" x14ac:dyDescent="0.3">
      <c r="A262" s="202">
        <v>41535</v>
      </c>
      <c r="B262" s="203">
        <f t="shared" si="45"/>
        <v>9</v>
      </c>
      <c r="C262" s="203">
        <f t="shared" si="46"/>
        <v>1</v>
      </c>
      <c r="D262" s="201">
        <f t="shared" si="47"/>
        <v>27.116099999999999</v>
      </c>
      <c r="E262" s="201">
        <f t="shared" si="48"/>
        <v>36.5152</v>
      </c>
      <c r="F262" s="201">
        <f t="shared" si="49"/>
        <v>17.145487096774193</v>
      </c>
      <c r="G262" s="201">
        <f>SUM(D$2:D262)</f>
        <v>28548.736600000037</v>
      </c>
      <c r="H262" s="201">
        <f>SUM(E$2:E262)</f>
        <v>38376.636999999915</v>
      </c>
      <c r="I262" s="201">
        <f>SUM(F$2:F262)</f>
        <v>13646.655544838708</v>
      </c>
      <c r="J262" s="201">
        <f>Model!F$51</f>
        <v>23678.322499999998</v>
      </c>
      <c r="K262" s="201">
        <f>Model!G$51</f>
        <v>26052.648000000005</v>
      </c>
      <c r="L262" s="201">
        <f>Model!H$51</f>
        <v>27478.056499999995</v>
      </c>
      <c r="M262" s="201">
        <f>Model!I$51</f>
        <v>28903.236999999997</v>
      </c>
      <c r="N262" s="201">
        <f>Model!J$51</f>
        <v>29853.18</v>
      </c>
      <c r="O262" s="201">
        <f>Model!K$51</f>
        <v>0</v>
      </c>
      <c r="P262" s="201">
        <f>Model!L$51</f>
        <v>0</v>
      </c>
      <c r="Q262" s="201">
        <f>Model!M$51</f>
        <v>0</v>
      </c>
      <c r="R262" s="201">
        <f>Model!N$51</f>
        <v>0</v>
      </c>
      <c r="S262" s="201">
        <f>Model!R$51</f>
        <v>25000</v>
      </c>
      <c r="T262" s="204" t="str">
        <f t="shared" si="51"/>
        <v xml:space="preserve">  </v>
      </c>
      <c r="U262" s="204" t="str">
        <f t="shared" si="52"/>
        <v xml:space="preserve">  </v>
      </c>
      <c r="V262" s="204" t="str">
        <f t="shared" si="53"/>
        <v/>
      </c>
      <c r="W262" s="204" t="str">
        <f t="shared" si="50"/>
        <v/>
      </c>
      <c r="X262" s="204" t="str">
        <f t="shared" si="50"/>
        <v/>
      </c>
      <c r="Y262" s="204" t="str">
        <f t="shared" si="50"/>
        <v xml:space="preserve">  </v>
      </c>
      <c r="Z262" s="204" t="str">
        <f t="shared" si="50"/>
        <v xml:space="preserve">  </v>
      </c>
      <c r="AA262" s="204" t="str">
        <f t="shared" si="55"/>
        <v xml:space="preserve">  </v>
      </c>
      <c r="AB262" s="204" t="str">
        <f t="shared" si="54"/>
        <v xml:space="preserve">  </v>
      </c>
      <c r="AC262" s="204" t="str">
        <f t="shared" si="54"/>
        <v xml:space="preserve">  </v>
      </c>
    </row>
    <row r="263" spans="1:29" x14ac:dyDescent="0.3">
      <c r="A263" s="202">
        <v>41536</v>
      </c>
      <c r="B263" s="203">
        <f t="shared" si="45"/>
        <v>9</v>
      </c>
      <c r="C263" s="203">
        <f t="shared" si="46"/>
        <v>1</v>
      </c>
      <c r="D263" s="201">
        <f t="shared" si="47"/>
        <v>27.116099999999999</v>
      </c>
      <c r="E263" s="201">
        <f t="shared" si="48"/>
        <v>36.5152</v>
      </c>
      <c r="F263" s="201">
        <f t="shared" si="49"/>
        <v>17.145487096774193</v>
      </c>
      <c r="G263" s="201">
        <f>SUM(D$2:D263)</f>
        <v>28575.852700000036</v>
      </c>
      <c r="H263" s="201">
        <f>SUM(E$2:E263)</f>
        <v>38413.152199999917</v>
      </c>
      <c r="I263" s="201">
        <f>SUM(F$2:F263)</f>
        <v>13663.801031935482</v>
      </c>
      <c r="J263" s="201">
        <f>Model!F$51</f>
        <v>23678.322499999998</v>
      </c>
      <c r="K263" s="201">
        <f>Model!G$51</f>
        <v>26052.648000000005</v>
      </c>
      <c r="L263" s="201">
        <f>Model!H$51</f>
        <v>27478.056499999995</v>
      </c>
      <c r="M263" s="201">
        <f>Model!I$51</f>
        <v>28903.236999999997</v>
      </c>
      <c r="N263" s="201">
        <f>Model!J$51</f>
        <v>29853.18</v>
      </c>
      <c r="O263" s="201">
        <f>Model!K$51</f>
        <v>0</v>
      </c>
      <c r="P263" s="201">
        <f>Model!L$51</f>
        <v>0</v>
      </c>
      <c r="Q263" s="201">
        <f>Model!M$51</f>
        <v>0</v>
      </c>
      <c r="R263" s="201">
        <f>Model!N$51</f>
        <v>0</v>
      </c>
      <c r="S263" s="201">
        <f>Model!R$51</f>
        <v>25000</v>
      </c>
      <c r="T263" s="204" t="str">
        <f t="shared" si="51"/>
        <v xml:space="preserve">  </v>
      </c>
      <c r="U263" s="204" t="str">
        <f t="shared" si="52"/>
        <v xml:space="preserve">  </v>
      </c>
      <c r="V263" s="204" t="str">
        <f t="shared" si="53"/>
        <v/>
      </c>
      <c r="W263" s="204" t="str">
        <f t="shared" si="50"/>
        <v/>
      </c>
      <c r="X263" s="204" t="str">
        <f t="shared" si="50"/>
        <v/>
      </c>
      <c r="Y263" s="204" t="str">
        <f t="shared" si="50"/>
        <v xml:space="preserve">  </v>
      </c>
      <c r="Z263" s="204" t="str">
        <f t="shared" si="50"/>
        <v xml:space="preserve">  </v>
      </c>
      <c r="AA263" s="204" t="str">
        <f t="shared" si="55"/>
        <v xml:space="preserve">  </v>
      </c>
      <c r="AB263" s="204" t="str">
        <f t="shared" si="54"/>
        <v xml:space="preserve">  </v>
      </c>
      <c r="AC263" s="204" t="str">
        <f t="shared" si="54"/>
        <v xml:space="preserve">  </v>
      </c>
    </row>
    <row r="264" spans="1:29" x14ac:dyDescent="0.3">
      <c r="A264" s="202">
        <v>41537</v>
      </c>
      <c r="B264" s="203">
        <f t="shared" si="45"/>
        <v>9</v>
      </c>
      <c r="C264" s="203">
        <f t="shared" si="46"/>
        <v>1</v>
      </c>
      <c r="D264" s="201">
        <f t="shared" si="47"/>
        <v>27.116099999999999</v>
      </c>
      <c r="E264" s="201">
        <f t="shared" si="48"/>
        <v>36.5152</v>
      </c>
      <c r="F264" s="201">
        <f t="shared" si="49"/>
        <v>17.145487096774193</v>
      </c>
      <c r="G264" s="201">
        <f>SUM(D$2:D264)</f>
        <v>28602.968800000035</v>
      </c>
      <c r="H264" s="201">
        <f>SUM(E$2:E264)</f>
        <v>38449.667399999918</v>
      </c>
      <c r="I264" s="201">
        <f>SUM(F$2:F264)</f>
        <v>13680.946519032255</v>
      </c>
      <c r="J264" s="201">
        <f>Model!F$51</f>
        <v>23678.322499999998</v>
      </c>
      <c r="K264" s="201">
        <f>Model!G$51</f>
        <v>26052.648000000005</v>
      </c>
      <c r="L264" s="201">
        <f>Model!H$51</f>
        <v>27478.056499999995</v>
      </c>
      <c r="M264" s="201">
        <f>Model!I$51</f>
        <v>28903.236999999997</v>
      </c>
      <c r="N264" s="201">
        <f>Model!J$51</f>
        <v>29853.18</v>
      </c>
      <c r="O264" s="201">
        <f>Model!K$51</f>
        <v>0</v>
      </c>
      <c r="P264" s="201">
        <f>Model!L$51</f>
        <v>0</v>
      </c>
      <c r="Q264" s="201">
        <f>Model!M$51</f>
        <v>0</v>
      </c>
      <c r="R264" s="201">
        <f>Model!N$51</f>
        <v>0</v>
      </c>
      <c r="S264" s="201">
        <f>Model!R$51</f>
        <v>25000</v>
      </c>
      <c r="T264" s="204" t="str">
        <f t="shared" si="51"/>
        <v xml:space="preserve">  </v>
      </c>
      <c r="U264" s="204" t="str">
        <f t="shared" si="52"/>
        <v xml:space="preserve">  </v>
      </c>
      <c r="V264" s="204" t="str">
        <f t="shared" si="53"/>
        <v/>
      </c>
      <c r="W264" s="204" t="str">
        <f t="shared" si="50"/>
        <v/>
      </c>
      <c r="X264" s="204" t="str">
        <f t="shared" si="50"/>
        <v/>
      </c>
      <c r="Y264" s="204" t="str">
        <f t="shared" si="50"/>
        <v xml:space="preserve">  </v>
      </c>
      <c r="Z264" s="204" t="str">
        <f t="shared" si="50"/>
        <v xml:space="preserve">  </v>
      </c>
      <c r="AA264" s="204" t="str">
        <f t="shared" si="55"/>
        <v xml:space="preserve">  </v>
      </c>
      <c r="AB264" s="204" t="str">
        <f t="shared" si="54"/>
        <v xml:space="preserve">  </v>
      </c>
      <c r="AC264" s="204" t="str">
        <f t="shared" si="54"/>
        <v xml:space="preserve">  </v>
      </c>
    </row>
    <row r="265" spans="1:29" x14ac:dyDescent="0.3">
      <c r="A265" s="202">
        <v>41538</v>
      </c>
      <c r="B265" s="203">
        <f t="shared" si="45"/>
        <v>9</v>
      </c>
      <c r="C265" s="203">
        <f t="shared" si="46"/>
        <v>1</v>
      </c>
      <c r="D265" s="201">
        <f t="shared" si="47"/>
        <v>27.116099999999999</v>
      </c>
      <c r="E265" s="201">
        <f t="shared" si="48"/>
        <v>36.5152</v>
      </c>
      <c r="F265" s="201">
        <f t="shared" si="49"/>
        <v>17.145487096774193</v>
      </c>
      <c r="G265" s="201">
        <f>SUM(D$2:D265)</f>
        <v>28630.084900000034</v>
      </c>
      <c r="H265" s="201">
        <f>SUM(E$2:E265)</f>
        <v>38486.18259999992</v>
      </c>
      <c r="I265" s="201">
        <f>SUM(F$2:F265)</f>
        <v>13698.092006129029</v>
      </c>
      <c r="J265" s="201">
        <f>Model!F$51</f>
        <v>23678.322499999998</v>
      </c>
      <c r="K265" s="201">
        <f>Model!G$51</f>
        <v>26052.648000000005</v>
      </c>
      <c r="L265" s="201">
        <f>Model!H$51</f>
        <v>27478.056499999995</v>
      </c>
      <c r="M265" s="201">
        <f>Model!I$51</f>
        <v>28903.236999999997</v>
      </c>
      <c r="N265" s="201">
        <f>Model!J$51</f>
        <v>29853.18</v>
      </c>
      <c r="O265" s="201">
        <f>Model!K$51</f>
        <v>0</v>
      </c>
      <c r="P265" s="201">
        <f>Model!L$51</f>
        <v>0</v>
      </c>
      <c r="Q265" s="201">
        <f>Model!M$51</f>
        <v>0</v>
      </c>
      <c r="R265" s="201">
        <f>Model!N$51</f>
        <v>0</v>
      </c>
      <c r="S265" s="201">
        <f>Model!R$51</f>
        <v>25000</v>
      </c>
      <c r="T265" s="204" t="str">
        <f t="shared" si="51"/>
        <v xml:space="preserve">  </v>
      </c>
      <c r="U265" s="204" t="str">
        <f t="shared" si="52"/>
        <v xml:space="preserve">  </v>
      </c>
      <c r="V265" s="204" t="str">
        <f t="shared" si="53"/>
        <v/>
      </c>
      <c r="W265" s="204" t="str">
        <f t="shared" si="50"/>
        <v/>
      </c>
      <c r="X265" s="204" t="str">
        <f t="shared" si="50"/>
        <v/>
      </c>
      <c r="Y265" s="204" t="str">
        <f t="shared" si="50"/>
        <v xml:space="preserve">  </v>
      </c>
      <c r="Z265" s="204" t="str">
        <f t="shared" si="50"/>
        <v xml:space="preserve">  </v>
      </c>
      <c r="AA265" s="204" t="str">
        <f t="shared" si="55"/>
        <v xml:space="preserve">  </v>
      </c>
      <c r="AB265" s="204" t="str">
        <f t="shared" si="54"/>
        <v xml:space="preserve">  </v>
      </c>
      <c r="AC265" s="204" t="str">
        <f t="shared" si="54"/>
        <v xml:space="preserve">  </v>
      </c>
    </row>
    <row r="266" spans="1:29" x14ac:dyDescent="0.3">
      <c r="A266" s="202">
        <v>41539</v>
      </c>
      <c r="B266" s="203">
        <f t="shared" si="45"/>
        <v>9</v>
      </c>
      <c r="C266" s="203">
        <f t="shared" si="46"/>
        <v>1</v>
      </c>
      <c r="D266" s="201">
        <f t="shared" si="47"/>
        <v>27.116099999999999</v>
      </c>
      <c r="E266" s="201">
        <f t="shared" si="48"/>
        <v>36.5152</v>
      </c>
      <c r="F266" s="201">
        <f t="shared" si="49"/>
        <v>17.145487096774193</v>
      </c>
      <c r="G266" s="201">
        <f>SUM(D$2:D266)</f>
        <v>28657.201000000034</v>
      </c>
      <c r="H266" s="201">
        <f>SUM(E$2:E266)</f>
        <v>38522.697799999922</v>
      </c>
      <c r="I266" s="201">
        <f>SUM(F$2:F266)</f>
        <v>13715.237493225803</v>
      </c>
      <c r="J266" s="201">
        <f>Model!F$51</f>
        <v>23678.322499999998</v>
      </c>
      <c r="K266" s="201">
        <f>Model!G$51</f>
        <v>26052.648000000005</v>
      </c>
      <c r="L266" s="201">
        <f>Model!H$51</f>
        <v>27478.056499999995</v>
      </c>
      <c r="M266" s="201">
        <f>Model!I$51</f>
        <v>28903.236999999997</v>
      </c>
      <c r="N266" s="201">
        <f>Model!J$51</f>
        <v>29853.18</v>
      </c>
      <c r="O266" s="201">
        <f>Model!K$51</f>
        <v>0</v>
      </c>
      <c r="P266" s="201">
        <f>Model!L$51</f>
        <v>0</v>
      </c>
      <c r="Q266" s="201">
        <f>Model!M$51</f>
        <v>0</v>
      </c>
      <c r="R266" s="201">
        <f>Model!N$51</f>
        <v>0</v>
      </c>
      <c r="S266" s="201">
        <f>Model!R$51</f>
        <v>25000</v>
      </c>
      <c r="T266" s="204" t="str">
        <f t="shared" si="51"/>
        <v xml:space="preserve">  </v>
      </c>
      <c r="U266" s="204" t="str">
        <f t="shared" si="52"/>
        <v xml:space="preserve">  </v>
      </c>
      <c r="V266" s="204" t="str">
        <f t="shared" si="53"/>
        <v/>
      </c>
      <c r="W266" s="204" t="str">
        <f t="shared" si="50"/>
        <v/>
      </c>
      <c r="X266" s="204" t="str">
        <f t="shared" si="50"/>
        <v/>
      </c>
      <c r="Y266" s="204" t="str">
        <f t="shared" si="50"/>
        <v xml:space="preserve">  </v>
      </c>
      <c r="Z266" s="204" t="str">
        <f t="shared" si="50"/>
        <v xml:space="preserve">  </v>
      </c>
      <c r="AA266" s="204" t="str">
        <f t="shared" si="55"/>
        <v xml:space="preserve">  </v>
      </c>
      <c r="AB266" s="204" t="str">
        <f t="shared" si="54"/>
        <v xml:space="preserve">  </v>
      </c>
      <c r="AC266" s="204" t="str">
        <f t="shared" si="54"/>
        <v xml:space="preserve">  </v>
      </c>
    </row>
    <row r="267" spans="1:29" x14ac:dyDescent="0.3">
      <c r="A267" s="202">
        <v>41540</v>
      </c>
      <c r="B267" s="203">
        <f t="shared" si="45"/>
        <v>9</v>
      </c>
      <c r="C267" s="203">
        <f t="shared" si="46"/>
        <v>1</v>
      </c>
      <c r="D267" s="201">
        <f t="shared" si="47"/>
        <v>27.116099999999999</v>
      </c>
      <c r="E267" s="201">
        <f t="shared" si="48"/>
        <v>36.5152</v>
      </c>
      <c r="F267" s="201">
        <f t="shared" si="49"/>
        <v>17.145487096774193</v>
      </c>
      <c r="G267" s="201">
        <f>SUM(D$2:D267)</f>
        <v>28684.317100000033</v>
      </c>
      <c r="H267" s="201">
        <f>SUM(E$2:E267)</f>
        <v>38559.212999999923</v>
      </c>
      <c r="I267" s="201">
        <f>SUM(F$2:F267)</f>
        <v>13732.382980322576</v>
      </c>
      <c r="J267" s="201">
        <f>Model!F$51</f>
        <v>23678.322499999998</v>
      </c>
      <c r="K267" s="201">
        <f>Model!G$51</f>
        <v>26052.648000000005</v>
      </c>
      <c r="L267" s="201">
        <f>Model!H$51</f>
        <v>27478.056499999995</v>
      </c>
      <c r="M267" s="201">
        <f>Model!I$51</f>
        <v>28903.236999999997</v>
      </c>
      <c r="N267" s="201">
        <f>Model!J$51</f>
        <v>29853.18</v>
      </c>
      <c r="O267" s="201">
        <f>Model!K$51</f>
        <v>0</v>
      </c>
      <c r="P267" s="201">
        <f>Model!L$51</f>
        <v>0</v>
      </c>
      <c r="Q267" s="201">
        <f>Model!M$51</f>
        <v>0</v>
      </c>
      <c r="R267" s="201">
        <f>Model!N$51</f>
        <v>0</v>
      </c>
      <c r="S267" s="201">
        <f>Model!R$51</f>
        <v>25000</v>
      </c>
      <c r="T267" s="204" t="str">
        <f t="shared" si="51"/>
        <v xml:space="preserve">  </v>
      </c>
      <c r="U267" s="204" t="str">
        <f t="shared" si="52"/>
        <v xml:space="preserve">  </v>
      </c>
      <c r="V267" s="204" t="str">
        <f t="shared" si="53"/>
        <v/>
      </c>
      <c r="W267" s="204" t="str">
        <f t="shared" si="50"/>
        <v/>
      </c>
      <c r="X267" s="204" t="str">
        <f t="shared" si="50"/>
        <v/>
      </c>
      <c r="Y267" s="204" t="str">
        <f t="shared" si="50"/>
        <v xml:space="preserve">  </v>
      </c>
      <c r="Z267" s="204" t="str">
        <f t="shared" si="50"/>
        <v xml:space="preserve">  </v>
      </c>
      <c r="AA267" s="204" t="str">
        <f t="shared" si="55"/>
        <v xml:space="preserve">  </v>
      </c>
      <c r="AB267" s="204" t="str">
        <f t="shared" si="54"/>
        <v xml:space="preserve">  </v>
      </c>
      <c r="AC267" s="204" t="str">
        <f t="shared" si="54"/>
        <v xml:space="preserve">  </v>
      </c>
    </row>
    <row r="268" spans="1:29" x14ac:dyDescent="0.3">
      <c r="A268" s="202">
        <v>41541</v>
      </c>
      <c r="B268" s="203">
        <f t="shared" si="45"/>
        <v>9</v>
      </c>
      <c r="C268" s="203">
        <f t="shared" si="46"/>
        <v>1</v>
      </c>
      <c r="D268" s="201">
        <f t="shared" si="47"/>
        <v>27.116099999999999</v>
      </c>
      <c r="E268" s="201">
        <f t="shared" si="48"/>
        <v>36.5152</v>
      </c>
      <c r="F268" s="201">
        <f t="shared" si="49"/>
        <v>17.145487096774193</v>
      </c>
      <c r="G268" s="201">
        <f>SUM(D$2:D268)</f>
        <v>28711.433200000032</v>
      </c>
      <c r="H268" s="201">
        <f>SUM(E$2:E268)</f>
        <v>38595.728199999925</v>
      </c>
      <c r="I268" s="201">
        <f>SUM(F$2:F268)</f>
        <v>13749.52846741935</v>
      </c>
      <c r="J268" s="201">
        <f>Model!F$51</f>
        <v>23678.322499999998</v>
      </c>
      <c r="K268" s="201">
        <f>Model!G$51</f>
        <v>26052.648000000005</v>
      </c>
      <c r="L268" s="201">
        <f>Model!H$51</f>
        <v>27478.056499999995</v>
      </c>
      <c r="M268" s="201">
        <f>Model!I$51</f>
        <v>28903.236999999997</v>
      </c>
      <c r="N268" s="201">
        <f>Model!J$51</f>
        <v>29853.18</v>
      </c>
      <c r="O268" s="201">
        <f>Model!K$51</f>
        <v>0</v>
      </c>
      <c r="P268" s="201">
        <f>Model!L$51</f>
        <v>0</v>
      </c>
      <c r="Q268" s="201">
        <f>Model!M$51</f>
        <v>0</v>
      </c>
      <c r="R268" s="201">
        <f>Model!N$51</f>
        <v>0</v>
      </c>
      <c r="S268" s="201">
        <f>Model!R$51</f>
        <v>25000</v>
      </c>
      <c r="T268" s="204" t="str">
        <f t="shared" si="51"/>
        <v xml:space="preserve">  </v>
      </c>
      <c r="U268" s="204" t="str">
        <f t="shared" si="52"/>
        <v xml:space="preserve">  </v>
      </c>
      <c r="V268" s="204" t="str">
        <f t="shared" si="53"/>
        <v/>
      </c>
      <c r="W268" s="204" t="str">
        <f t="shared" si="50"/>
        <v/>
      </c>
      <c r="X268" s="204" t="str">
        <f t="shared" si="50"/>
        <v/>
      </c>
      <c r="Y268" s="204" t="str">
        <f t="shared" si="50"/>
        <v xml:space="preserve">  </v>
      </c>
      <c r="Z268" s="204" t="str">
        <f t="shared" si="50"/>
        <v xml:space="preserve">  </v>
      </c>
      <c r="AA268" s="204" t="str">
        <f t="shared" si="55"/>
        <v xml:space="preserve">  </v>
      </c>
      <c r="AB268" s="204" t="str">
        <f t="shared" si="54"/>
        <v xml:space="preserve">  </v>
      </c>
      <c r="AC268" s="204" t="str">
        <f t="shared" si="54"/>
        <v xml:space="preserve">  </v>
      </c>
    </row>
    <row r="269" spans="1:29" x14ac:dyDescent="0.3">
      <c r="A269" s="202">
        <v>41542</v>
      </c>
      <c r="B269" s="203">
        <f t="shared" si="45"/>
        <v>9</v>
      </c>
      <c r="C269" s="203">
        <f t="shared" si="46"/>
        <v>1</v>
      </c>
      <c r="D269" s="201">
        <f t="shared" si="47"/>
        <v>27.116099999999999</v>
      </c>
      <c r="E269" s="201">
        <f t="shared" si="48"/>
        <v>36.5152</v>
      </c>
      <c r="F269" s="201">
        <f t="shared" si="49"/>
        <v>17.145487096774193</v>
      </c>
      <c r="G269" s="201">
        <f>SUM(D$2:D269)</f>
        <v>28738.549300000032</v>
      </c>
      <c r="H269" s="201">
        <f>SUM(E$2:E269)</f>
        <v>38632.243399999927</v>
      </c>
      <c r="I269" s="201">
        <f>SUM(F$2:F269)</f>
        <v>13766.673954516124</v>
      </c>
      <c r="J269" s="201">
        <f>Model!F$51</f>
        <v>23678.322499999998</v>
      </c>
      <c r="K269" s="201">
        <f>Model!G$51</f>
        <v>26052.648000000005</v>
      </c>
      <c r="L269" s="201">
        <f>Model!H$51</f>
        <v>27478.056499999995</v>
      </c>
      <c r="M269" s="201">
        <f>Model!I$51</f>
        <v>28903.236999999997</v>
      </c>
      <c r="N269" s="201">
        <f>Model!J$51</f>
        <v>29853.18</v>
      </c>
      <c r="O269" s="201">
        <f>Model!K$51</f>
        <v>0</v>
      </c>
      <c r="P269" s="201">
        <f>Model!L$51</f>
        <v>0</v>
      </c>
      <c r="Q269" s="201">
        <f>Model!M$51</f>
        <v>0</v>
      </c>
      <c r="R269" s="201">
        <f>Model!N$51</f>
        <v>0</v>
      </c>
      <c r="S269" s="201">
        <f>Model!R$51</f>
        <v>25000</v>
      </c>
      <c r="T269" s="204" t="str">
        <f t="shared" si="51"/>
        <v xml:space="preserve">  </v>
      </c>
      <c r="U269" s="204" t="str">
        <f t="shared" si="52"/>
        <v xml:space="preserve">  </v>
      </c>
      <c r="V269" s="204" t="str">
        <f t="shared" si="53"/>
        <v/>
      </c>
      <c r="W269" s="204" t="str">
        <f t="shared" si="50"/>
        <v/>
      </c>
      <c r="X269" s="204" t="str">
        <f t="shared" si="50"/>
        <v/>
      </c>
      <c r="Y269" s="204" t="str">
        <f t="shared" si="50"/>
        <v xml:space="preserve">  </v>
      </c>
      <c r="Z269" s="204" t="str">
        <f t="shared" si="50"/>
        <v xml:space="preserve">  </v>
      </c>
      <c r="AA269" s="204" t="str">
        <f t="shared" si="55"/>
        <v xml:space="preserve">  </v>
      </c>
      <c r="AB269" s="204" t="str">
        <f t="shared" si="54"/>
        <v xml:space="preserve">  </v>
      </c>
      <c r="AC269" s="204" t="str">
        <f t="shared" si="54"/>
        <v xml:space="preserve">  </v>
      </c>
    </row>
    <row r="270" spans="1:29" x14ac:dyDescent="0.3">
      <c r="A270" s="202">
        <v>41543</v>
      </c>
      <c r="B270" s="203">
        <f t="shared" si="45"/>
        <v>9</v>
      </c>
      <c r="C270" s="203">
        <f t="shared" si="46"/>
        <v>1</v>
      </c>
      <c r="D270" s="201">
        <f t="shared" si="47"/>
        <v>27.116099999999999</v>
      </c>
      <c r="E270" s="201">
        <f t="shared" si="48"/>
        <v>36.5152</v>
      </c>
      <c r="F270" s="201">
        <f t="shared" si="49"/>
        <v>17.145487096774193</v>
      </c>
      <c r="G270" s="201">
        <f>SUM(D$2:D270)</f>
        <v>28765.665400000031</v>
      </c>
      <c r="H270" s="201">
        <f>SUM(E$2:E270)</f>
        <v>38668.758599999928</v>
      </c>
      <c r="I270" s="201">
        <f>SUM(F$2:F270)</f>
        <v>13783.819441612897</v>
      </c>
      <c r="J270" s="201">
        <f>Model!F$51</f>
        <v>23678.322499999998</v>
      </c>
      <c r="K270" s="201">
        <f>Model!G$51</f>
        <v>26052.648000000005</v>
      </c>
      <c r="L270" s="201">
        <f>Model!H$51</f>
        <v>27478.056499999995</v>
      </c>
      <c r="M270" s="201">
        <f>Model!I$51</f>
        <v>28903.236999999997</v>
      </c>
      <c r="N270" s="201">
        <f>Model!J$51</f>
        <v>29853.18</v>
      </c>
      <c r="O270" s="201">
        <f>Model!K$51</f>
        <v>0</v>
      </c>
      <c r="P270" s="201">
        <f>Model!L$51</f>
        <v>0</v>
      </c>
      <c r="Q270" s="201">
        <f>Model!M$51</f>
        <v>0</v>
      </c>
      <c r="R270" s="201">
        <f>Model!N$51</f>
        <v>0</v>
      </c>
      <c r="S270" s="201">
        <f>Model!R$51</f>
        <v>25000</v>
      </c>
      <c r="T270" s="204" t="str">
        <f t="shared" si="51"/>
        <v xml:space="preserve">  </v>
      </c>
      <c r="U270" s="204" t="str">
        <f t="shared" si="52"/>
        <v xml:space="preserve">  </v>
      </c>
      <c r="V270" s="204" t="str">
        <f t="shared" si="53"/>
        <v/>
      </c>
      <c r="W270" s="204" t="str">
        <f t="shared" si="50"/>
        <v/>
      </c>
      <c r="X270" s="204" t="str">
        <f t="shared" si="50"/>
        <v/>
      </c>
      <c r="Y270" s="204" t="str">
        <f t="shared" si="50"/>
        <v xml:space="preserve">  </v>
      </c>
      <c r="Z270" s="204" t="str">
        <f t="shared" si="50"/>
        <v xml:space="preserve">  </v>
      </c>
      <c r="AA270" s="204" t="str">
        <f t="shared" si="55"/>
        <v xml:space="preserve">  </v>
      </c>
      <c r="AB270" s="204" t="str">
        <f t="shared" si="54"/>
        <v xml:space="preserve">  </v>
      </c>
      <c r="AC270" s="204" t="str">
        <f t="shared" si="54"/>
        <v xml:space="preserve">  </v>
      </c>
    </row>
    <row r="271" spans="1:29" x14ac:dyDescent="0.3">
      <c r="A271" s="202">
        <v>41544</v>
      </c>
      <c r="B271" s="203">
        <f t="shared" si="45"/>
        <v>9</v>
      </c>
      <c r="C271" s="203">
        <f t="shared" si="46"/>
        <v>1</v>
      </c>
      <c r="D271" s="201">
        <f t="shared" si="47"/>
        <v>27.116099999999999</v>
      </c>
      <c r="E271" s="201">
        <f t="shared" si="48"/>
        <v>36.5152</v>
      </c>
      <c r="F271" s="201">
        <f t="shared" si="49"/>
        <v>17.145487096774193</v>
      </c>
      <c r="G271" s="201">
        <f>SUM(D$2:D271)</f>
        <v>28792.78150000003</v>
      </c>
      <c r="H271" s="201">
        <f>SUM(E$2:E271)</f>
        <v>38705.27379999993</v>
      </c>
      <c r="I271" s="201">
        <f>SUM(F$2:F271)</f>
        <v>13800.964928709671</v>
      </c>
      <c r="J271" s="201">
        <f>Model!F$51</f>
        <v>23678.322499999998</v>
      </c>
      <c r="K271" s="201">
        <f>Model!G$51</f>
        <v>26052.648000000005</v>
      </c>
      <c r="L271" s="201">
        <f>Model!H$51</f>
        <v>27478.056499999995</v>
      </c>
      <c r="M271" s="201">
        <f>Model!I$51</f>
        <v>28903.236999999997</v>
      </c>
      <c r="N271" s="201">
        <f>Model!J$51</f>
        <v>29853.18</v>
      </c>
      <c r="O271" s="201">
        <f>Model!K$51</f>
        <v>0</v>
      </c>
      <c r="P271" s="201">
        <f>Model!L$51</f>
        <v>0</v>
      </c>
      <c r="Q271" s="201">
        <f>Model!M$51</f>
        <v>0</v>
      </c>
      <c r="R271" s="201">
        <f>Model!N$51</f>
        <v>0</v>
      </c>
      <c r="S271" s="201">
        <f>Model!R$51</f>
        <v>25000</v>
      </c>
      <c r="T271" s="204" t="str">
        <f t="shared" si="51"/>
        <v xml:space="preserve">  </v>
      </c>
      <c r="U271" s="204" t="str">
        <f t="shared" si="52"/>
        <v xml:space="preserve">  </v>
      </c>
      <c r="V271" s="204" t="str">
        <f t="shared" si="53"/>
        <v/>
      </c>
      <c r="W271" s="204" t="str">
        <f t="shared" si="50"/>
        <v/>
      </c>
      <c r="X271" s="204" t="str">
        <f t="shared" si="50"/>
        <v/>
      </c>
      <c r="Y271" s="204" t="str">
        <f t="shared" si="50"/>
        <v xml:space="preserve">  </v>
      </c>
      <c r="Z271" s="204" t="str">
        <f t="shared" si="50"/>
        <v xml:space="preserve">  </v>
      </c>
      <c r="AA271" s="204" t="str">
        <f t="shared" si="55"/>
        <v xml:space="preserve">  </v>
      </c>
      <c r="AB271" s="204" t="str">
        <f t="shared" si="54"/>
        <v xml:space="preserve">  </v>
      </c>
      <c r="AC271" s="204" t="str">
        <f t="shared" si="54"/>
        <v xml:space="preserve">  </v>
      </c>
    </row>
    <row r="272" spans="1:29" x14ac:dyDescent="0.3">
      <c r="A272" s="202">
        <v>41545</v>
      </c>
      <c r="B272" s="203">
        <f t="shared" si="45"/>
        <v>9</v>
      </c>
      <c r="C272" s="203">
        <f t="shared" si="46"/>
        <v>1</v>
      </c>
      <c r="D272" s="201">
        <f t="shared" si="47"/>
        <v>27.116099999999999</v>
      </c>
      <c r="E272" s="201">
        <f t="shared" si="48"/>
        <v>36.5152</v>
      </c>
      <c r="F272" s="201">
        <f t="shared" si="49"/>
        <v>17.145487096774193</v>
      </c>
      <c r="G272" s="201">
        <f>SUM(D$2:D272)</f>
        <v>28819.897600000029</v>
      </c>
      <c r="H272" s="201">
        <f>SUM(E$2:E272)</f>
        <v>38741.788999999932</v>
      </c>
      <c r="I272" s="201">
        <f>SUM(F$2:F272)</f>
        <v>13818.110415806445</v>
      </c>
      <c r="J272" s="201">
        <f>Model!F$51</f>
        <v>23678.322499999998</v>
      </c>
      <c r="K272" s="201">
        <f>Model!G$51</f>
        <v>26052.648000000005</v>
      </c>
      <c r="L272" s="201">
        <f>Model!H$51</f>
        <v>27478.056499999995</v>
      </c>
      <c r="M272" s="201">
        <f>Model!I$51</f>
        <v>28903.236999999997</v>
      </c>
      <c r="N272" s="201">
        <f>Model!J$51</f>
        <v>29853.18</v>
      </c>
      <c r="O272" s="201">
        <f>Model!K$51</f>
        <v>0</v>
      </c>
      <c r="P272" s="201">
        <f>Model!L$51</f>
        <v>0</v>
      </c>
      <c r="Q272" s="201">
        <f>Model!M$51</f>
        <v>0</v>
      </c>
      <c r="R272" s="201">
        <f>Model!N$51</f>
        <v>0</v>
      </c>
      <c r="S272" s="201">
        <f>Model!R$51</f>
        <v>25000</v>
      </c>
      <c r="T272" s="204" t="str">
        <f t="shared" si="51"/>
        <v xml:space="preserve">  </v>
      </c>
      <c r="U272" s="204" t="str">
        <f t="shared" si="52"/>
        <v xml:space="preserve">  </v>
      </c>
      <c r="V272" s="204" t="str">
        <f t="shared" si="53"/>
        <v/>
      </c>
      <c r="W272" s="204" t="str">
        <f t="shared" si="50"/>
        <v/>
      </c>
      <c r="X272" s="204" t="str">
        <f t="shared" si="50"/>
        <v/>
      </c>
      <c r="Y272" s="204" t="str">
        <f t="shared" si="50"/>
        <v xml:space="preserve">  </v>
      </c>
      <c r="Z272" s="204" t="str">
        <f t="shared" si="50"/>
        <v xml:space="preserve">  </v>
      </c>
      <c r="AA272" s="204" t="str">
        <f t="shared" si="55"/>
        <v xml:space="preserve">  </v>
      </c>
      <c r="AB272" s="204" t="str">
        <f t="shared" si="54"/>
        <v xml:space="preserve">  </v>
      </c>
      <c r="AC272" s="204" t="str">
        <f t="shared" si="54"/>
        <v xml:space="preserve">  </v>
      </c>
    </row>
    <row r="273" spans="1:29" x14ac:dyDescent="0.3">
      <c r="A273" s="202">
        <v>41546</v>
      </c>
      <c r="B273" s="203">
        <f t="shared" si="45"/>
        <v>9</v>
      </c>
      <c r="C273" s="203">
        <f t="shared" si="46"/>
        <v>1</v>
      </c>
      <c r="D273" s="201">
        <f t="shared" si="47"/>
        <v>27.116099999999999</v>
      </c>
      <c r="E273" s="201">
        <f t="shared" si="48"/>
        <v>36.5152</v>
      </c>
      <c r="F273" s="201">
        <f t="shared" si="49"/>
        <v>17.145487096774193</v>
      </c>
      <c r="G273" s="201">
        <f>SUM(D$2:D273)</f>
        <v>28847.013700000029</v>
      </c>
      <c r="H273" s="201">
        <f>SUM(E$2:E273)</f>
        <v>38778.304199999933</v>
      </c>
      <c r="I273" s="201">
        <f>SUM(F$2:F273)</f>
        <v>13835.255902903218</v>
      </c>
      <c r="J273" s="201">
        <f>Model!F$51</f>
        <v>23678.322499999998</v>
      </c>
      <c r="K273" s="201">
        <f>Model!G$51</f>
        <v>26052.648000000005</v>
      </c>
      <c r="L273" s="201">
        <f>Model!H$51</f>
        <v>27478.056499999995</v>
      </c>
      <c r="M273" s="201">
        <f>Model!I$51</f>
        <v>28903.236999999997</v>
      </c>
      <c r="N273" s="201">
        <f>Model!J$51</f>
        <v>29853.18</v>
      </c>
      <c r="O273" s="201">
        <f>Model!K$51</f>
        <v>0</v>
      </c>
      <c r="P273" s="201">
        <f>Model!L$51</f>
        <v>0</v>
      </c>
      <c r="Q273" s="201">
        <f>Model!M$51</f>
        <v>0</v>
      </c>
      <c r="R273" s="201">
        <f>Model!N$51</f>
        <v>0</v>
      </c>
      <c r="S273" s="201">
        <f>Model!R$51</f>
        <v>25000</v>
      </c>
      <c r="T273" s="204" t="str">
        <f t="shared" si="51"/>
        <v xml:space="preserve">  </v>
      </c>
      <c r="U273" s="204" t="str">
        <f t="shared" si="52"/>
        <v xml:space="preserve">  </v>
      </c>
      <c r="V273" s="204" t="str">
        <f t="shared" si="53"/>
        <v/>
      </c>
      <c r="W273" s="204" t="str">
        <f t="shared" si="50"/>
        <v/>
      </c>
      <c r="X273" s="204" t="str">
        <f t="shared" si="50"/>
        <v/>
      </c>
      <c r="Y273" s="204" t="str">
        <f t="shared" si="50"/>
        <v xml:space="preserve">  </v>
      </c>
      <c r="Z273" s="204" t="str">
        <f t="shared" si="50"/>
        <v xml:space="preserve">  </v>
      </c>
      <c r="AA273" s="204" t="str">
        <f t="shared" si="55"/>
        <v xml:space="preserve">  </v>
      </c>
      <c r="AB273" s="204" t="str">
        <f t="shared" si="54"/>
        <v xml:space="preserve">  </v>
      </c>
      <c r="AC273" s="204" t="str">
        <f t="shared" si="54"/>
        <v xml:space="preserve">  </v>
      </c>
    </row>
    <row r="274" spans="1:29" x14ac:dyDescent="0.3">
      <c r="A274" s="202">
        <v>41547</v>
      </c>
      <c r="B274" s="203">
        <f t="shared" si="45"/>
        <v>9</v>
      </c>
      <c r="C274" s="203">
        <f t="shared" si="46"/>
        <v>1</v>
      </c>
      <c r="D274" s="201">
        <f t="shared" si="47"/>
        <v>27.116099999999999</v>
      </c>
      <c r="E274" s="201">
        <f t="shared" si="48"/>
        <v>36.5152</v>
      </c>
      <c r="F274" s="201">
        <f t="shared" si="49"/>
        <v>17.145487096774193</v>
      </c>
      <c r="G274" s="201">
        <f>SUM(D$2:D274)</f>
        <v>28874.129800000028</v>
      </c>
      <c r="H274" s="201">
        <f>SUM(E$2:E274)</f>
        <v>38814.819399999935</v>
      </c>
      <c r="I274" s="201">
        <f>SUM(F$2:F274)</f>
        <v>13852.401389999992</v>
      </c>
      <c r="J274" s="201">
        <f>Model!F$51</f>
        <v>23678.322499999998</v>
      </c>
      <c r="K274" s="201">
        <f>Model!G$51</f>
        <v>26052.648000000005</v>
      </c>
      <c r="L274" s="201">
        <f>Model!H$51</f>
        <v>27478.056499999995</v>
      </c>
      <c r="M274" s="201">
        <f>Model!I$51</f>
        <v>28903.236999999997</v>
      </c>
      <c r="N274" s="201">
        <f>Model!J$51</f>
        <v>29853.18</v>
      </c>
      <c r="O274" s="201">
        <f>Model!K$51</f>
        <v>0</v>
      </c>
      <c r="P274" s="201">
        <f>Model!L$51</f>
        <v>0</v>
      </c>
      <c r="Q274" s="201">
        <f>Model!M$51</f>
        <v>0</v>
      </c>
      <c r="R274" s="201">
        <f>Model!N$51</f>
        <v>0</v>
      </c>
      <c r="S274" s="201">
        <f>Model!R$51</f>
        <v>25000</v>
      </c>
      <c r="T274" s="204" t="str">
        <f t="shared" si="51"/>
        <v xml:space="preserve">  </v>
      </c>
      <c r="U274" s="204" t="str">
        <f t="shared" si="52"/>
        <v xml:space="preserve">  </v>
      </c>
      <c r="V274" s="204" t="str">
        <f t="shared" si="53"/>
        <v/>
      </c>
      <c r="W274" s="204" t="str">
        <f t="shared" si="50"/>
        <v/>
      </c>
      <c r="X274" s="204" t="str">
        <f t="shared" si="50"/>
        <v/>
      </c>
      <c r="Y274" s="204" t="str">
        <f t="shared" si="50"/>
        <v xml:space="preserve">  </v>
      </c>
      <c r="Z274" s="204" t="str">
        <f t="shared" si="50"/>
        <v xml:space="preserve">  </v>
      </c>
      <c r="AA274" s="204" t="str">
        <f t="shared" si="55"/>
        <v xml:space="preserve">  </v>
      </c>
      <c r="AB274" s="204" t="str">
        <f t="shared" si="54"/>
        <v xml:space="preserve">  </v>
      </c>
      <c r="AC274" s="204" t="str">
        <f t="shared" si="54"/>
        <v xml:space="preserve">  </v>
      </c>
    </row>
    <row r="275" spans="1:29" x14ac:dyDescent="0.3">
      <c r="A275" s="202">
        <v>41548</v>
      </c>
      <c r="B275" s="203">
        <f t="shared" si="45"/>
        <v>10</v>
      </c>
      <c r="C275" s="203">
        <f t="shared" si="46"/>
        <v>1</v>
      </c>
      <c r="D275" s="201">
        <f t="shared" si="47"/>
        <v>27.116103225806452</v>
      </c>
      <c r="E275" s="201">
        <f t="shared" si="48"/>
        <v>36.5152</v>
      </c>
      <c r="F275" s="201">
        <f t="shared" si="49"/>
        <v>18.307569999999998</v>
      </c>
      <c r="G275" s="201">
        <f>SUM(D$2:D275)</f>
        <v>28901.245903225834</v>
      </c>
      <c r="H275" s="201">
        <f>SUM(E$2:E275)</f>
        <v>38851.334599999936</v>
      </c>
      <c r="I275" s="201">
        <f>SUM(F$2:F275)</f>
        <v>13870.708959999993</v>
      </c>
      <c r="J275" s="201">
        <f>Model!F$51</f>
        <v>23678.322499999998</v>
      </c>
      <c r="K275" s="201">
        <f>Model!G$51</f>
        <v>26052.648000000005</v>
      </c>
      <c r="L275" s="201">
        <f>Model!H$51</f>
        <v>27478.056499999995</v>
      </c>
      <c r="M275" s="201">
        <f>Model!I$51</f>
        <v>28903.236999999997</v>
      </c>
      <c r="N275" s="201">
        <f>Model!J$51</f>
        <v>29853.18</v>
      </c>
      <c r="O275" s="201">
        <f>Model!K$51</f>
        <v>0</v>
      </c>
      <c r="P275" s="201">
        <f>Model!L$51</f>
        <v>0</v>
      </c>
      <c r="Q275" s="201">
        <f>Model!M$51</f>
        <v>0</v>
      </c>
      <c r="R275" s="201">
        <f>Model!N$51</f>
        <v>0</v>
      </c>
      <c r="S275" s="201">
        <f>Model!R$51</f>
        <v>25000</v>
      </c>
      <c r="T275" s="204" t="str">
        <f t="shared" si="51"/>
        <v xml:space="preserve">  </v>
      </c>
      <c r="U275" s="204" t="str">
        <f t="shared" si="52"/>
        <v xml:space="preserve">  </v>
      </c>
      <c r="V275" s="204" t="str">
        <f t="shared" si="53"/>
        <v/>
      </c>
      <c r="W275" s="204" t="str">
        <f t="shared" si="50"/>
        <v/>
      </c>
      <c r="X275" s="204" t="str">
        <f t="shared" si="50"/>
        <v/>
      </c>
      <c r="Y275" s="204" t="str">
        <f t="shared" si="50"/>
        <v xml:space="preserve">  </v>
      </c>
      <c r="Z275" s="204" t="str">
        <f t="shared" si="50"/>
        <v xml:space="preserve">  </v>
      </c>
      <c r="AA275" s="204" t="str">
        <f t="shared" si="55"/>
        <v xml:space="preserve">  </v>
      </c>
      <c r="AB275" s="204" t="str">
        <f t="shared" si="54"/>
        <v xml:space="preserve">  </v>
      </c>
      <c r="AC275" s="204" t="str">
        <f t="shared" si="54"/>
        <v xml:space="preserve">  </v>
      </c>
    </row>
    <row r="276" spans="1:29" x14ac:dyDescent="0.3">
      <c r="A276" s="202">
        <v>41549</v>
      </c>
      <c r="B276" s="203">
        <f t="shared" si="45"/>
        <v>10</v>
      </c>
      <c r="C276" s="203">
        <f t="shared" si="46"/>
        <v>1</v>
      </c>
      <c r="D276" s="201">
        <f t="shared" si="47"/>
        <v>27.116103225806452</v>
      </c>
      <c r="E276" s="201">
        <f t="shared" si="48"/>
        <v>36.5152</v>
      </c>
      <c r="F276" s="201">
        <f t="shared" si="49"/>
        <v>18.307569999999998</v>
      </c>
      <c r="G276" s="201">
        <f>SUM(D$2:D276)</f>
        <v>28928.36200645164</v>
      </c>
      <c r="H276" s="201">
        <f>SUM(E$2:E276)</f>
        <v>38887.849799999938</v>
      </c>
      <c r="I276" s="201">
        <f>SUM(F$2:F276)</f>
        <v>13889.016529999994</v>
      </c>
      <c r="J276" s="201">
        <f>Model!F$51</f>
        <v>23678.322499999998</v>
      </c>
      <c r="K276" s="201">
        <f>Model!G$51</f>
        <v>26052.648000000005</v>
      </c>
      <c r="L276" s="201">
        <f>Model!H$51</f>
        <v>27478.056499999995</v>
      </c>
      <c r="M276" s="201">
        <f>Model!I$51</f>
        <v>28903.236999999997</v>
      </c>
      <c r="N276" s="201">
        <f>Model!J$51</f>
        <v>29853.18</v>
      </c>
      <c r="O276" s="201">
        <f>Model!K$51</f>
        <v>0</v>
      </c>
      <c r="P276" s="201">
        <f>Model!L$51</f>
        <v>0</v>
      </c>
      <c r="Q276" s="201">
        <f>Model!M$51</f>
        <v>0</v>
      </c>
      <c r="R276" s="201">
        <f>Model!N$51</f>
        <v>0</v>
      </c>
      <c r="S276" s="201">
        <f>Model!R$51</f>
        <v>25000</v>
      </c>
      <c r="T276" s="204" t="str">
        <f t="shared" si="51"/>
        <v xml:space="preserve">  </v>
      </c>
      <c r="U276" s="204" t="str">
        <f t="shared" si="52"/>
        <v xml:space="preserve">  </v>
      </c>
      <c r="V276" s="204" t="str">
        <f t="shared" si="53"/>
        <v/>
      </c>
      <c r="W276" s="204">
        <f t="shared" si="50"/>
        <v>41549</v>
      </c>
      <c r="X276" s="204" t="str">
        <f t="shared" si="50"/>
        <v/>
      </c>
      <c r="Y276" s="204" t="str">
        <f t="shared" si="50"/>
        <v xml:space="preserve">  </v>
      </c>
      <c r="Z276" s="204" t="str">
        <f t="shared" si="50"/>
        <v xml:space="preserve">  </v>
      </c>
      <c r="AA276" s="204" t="str">
        <f t="shared" si="55"/>
        <v xml:space="preserve">  </v>
      </c>
      <c r="AB276" s="204" t="str">
        <f t="shared" si="54"/>
        <v xml:space="preserve">  </v>
      </c>
      <c r="AC276" s="204" t="str">
        <f t="shared" si="54"/>
        <v xml:space="preserve">  </v>
      </c>
    </row>
    <row r="277" spans="1:29" x14ac:dyDescent="0.3">
      <c r="A277" s="202">
        <v>41550</v>
      </c>
      <c r="B277" s="203">
        <f t="shared" si="45"/>
        <v>10</v>
      </c>
      <c r="C277" s="203">
        <f t="shared" si="46"/>
        <v>1</v>
      </c>
      <c r="D277" s="201">
        <f t="shared" si="47"/>
        <v>27.116103225806452</v>
      </c>
      <c r="E277" s="201">
        <f t="shared" si="48"/>
        <v>36.5152</v>
      </c>
      <c r="F277" s="201">
        <f t="shared" si="49"/>
        <v>18.307569999999998</v>
      </c>
      <c r="G277" s="201">
        <f>SUM(D$2:D277)</f>
        <v>28955.478109677446</v>
      </c>
      <c r="H277" s="201">
        <f>SUM(E$2:E277)</f>
        <v>38924.36499999994</v>
      </c>
      <c r="I277" s="201">
        <f>SUM(F$2:F277)</f>
        <v>13907.324099999994</v>
      </c>
      <c r="J277" s="201">
        <f>Model!F$51</f>
        <v>23678.322499999998</v>
      </c>
      <c r="K277" s="201">
        <f>Model!G$51</f>
        <v>26052.648000000005</v>
      </c>
      <c r="L277" s="201">
        <f>Model!H$51</f>
        <v>27478.056499999995</v>
      </c>
      <c r="M277" s="201">
        <f>Model!I$51</f>
        <v>28903.236999999997</v>
      </c>
      <c r="N277" s="201">
        <f>Model!J$51</f>
        <v>29853.18</v>
      </c>
      <c r="O277" s="201">
        <f>Model!K$51</f>
        <v>0</v>
      </c>
      <c r="P277" s="201">
        <f>Model!L$51</f>
        <v>0</v>
      </c>
      <c r="Q277" s="201">
        <f>Model!M$51</f>
        <v>0</v>
      </c>
      <c r="R277" s="201">
        <f>Model!N$51</f>
        <v>0</v>
      </c>
      <c r="S277" s="201">
        <f>Model!R$51</f>
        <v>25000</v>
      </c>
      <c r="T277" s="204" t="str">
        <f t="shared" si="51"/>
        <v xml:space="preserve">  </v>
      </c>
      <c r="U277" s="204" t="str">
        <f t="shared" si="52"/>
        <v xml:space="preserve">  </v>
      </c>
      <c r="V277" s="204" t="str">
        <f t="shared" si="53"/>
        <v/>
      </c>
      <c r="W277" s="204" t="str">
        <f t="shared" si="50"/>
        <v xml:space="preserve">  </v>
      </c>
      <c r="X277" s="204" t="str">
        <f t="shared" si="50"/>
        <v/>
      </c>
      <c r="Y277" s="204" t="str">
        <f t="shared" si="50"/>
        <v xml:space="preserve">  </v>
      </c>
      <c r="Z277" s="204" t="str">
        <f t="shared" si="50"/>
        <v xml:space="preserve">  </v>
      </c>
      <c r="AA277" s="204" t="str">
        <f t="shared" si="55"/>
        <v xml:space="preserve">  </v>
      </c>
      <c r="AB277" s="204" t="str">
        <f t="shared" si="54"/>
        <v xml:space="preserve">  </v>
      </c>
      <c r="AC277" s="204" t="str">
        <f t="shared" si="54"/>
        <v xml:space="preserve">  </v>
      </c>
    </row>
    <row r="278" spans="1:29" x14ac:dyDescent="0.3">
      <c r="A278" s="202">
        <v>41551</v>
      </c>
      <c r="B278" s="203">
        <f t="shared" si="45"/>
        <v>10</v>
      </c>
      <c r="C278" s="203">
        <f t="shared" si="46"/>
        <v>1</v>
      </c>
      <c r="D278" s="201">
        <f t="shared" si="47"/>
        <v>27.116103225806452</v>
      </c>
      <c r="E278" s="201">
        <f t="shared" si="48"/>
        <v>36.5152</v>
      </c>
      <c r="F278" s="201">
        <f t="shared" si="49"/>
        <v>18.307569999999998</v>
      </c>
      <c r="G278" s="201">
        <f>SUM(D$2:D278)</f>
        <v>28982.594212903252</v>
      </c>
      <c r="H278" s="201">
        <f>SUM(E$2:E278)</f>
        <v>38960.880199999941</v>
      </c>
      <c r="I278" s="201">
        <f>SUM(F$2:F278)</f>
        <v>13925.631669999995</v>
      </c>
      <c r="J278" s="201">
        <f>Model!F$51</f>
        <v>23678.322499999998</v>
      </c>
      <c r="K278" s="201">
        <f>Model!G$51</f>
        <v>26052.648000000005</v>
      </c>
      <c r="L278" s="201">
        <f>Model!H$51</f>
        <v>27478.056499999995</v>
      </c>
      <c r="M278" s="201">
        <f>Model!I$51</f>
        <v>28903.236999999997</v>
      </c>
      <c r="N278" s="201">
        <f>Model!J$51</f>
        <v>29853.18</v>
      </c>
      <c r="O278" s="201">
        <f>Model!K$51</f>
        <v>0</v>
      </c>
      <c r="P278" s="201">
        <f>Model!L$51</f>
        <v>0</v>
      </c>
      <c r="Q278" s="201">
        <f>Model!M$51</f>
        <v>0</v>
      </c>
      <c r="R278" s="201">
        <f>Model!N$51</f>
        <v>0</v>
      </c>
      <c r="S278" s="201">
        <f>Model!R$51</f>
        <v>25000</v>
      </c>
      <c r="T278" s="204" t="str">
        <f t="shared" si="51"/>
        <v xml:space="preserve">  </v>
      </c>
      <c r="U278" s="204" t="str">
        <f t="shared" si="52"/>
        <v xml:space="preserve">  </v>
      </c>
      <c r="V278" s="204" t="str">
        <f t="shared" si="53"/>
        <v/>
      </c>
      <c r="W278" s="204" t="str">
        <f t="shared" si="50"/>
        <v xml:space="preserve">  </v>
      </c>
      <c r="X278" s="204" t="str">
        <f t="shared" si="50"/>
        <v/>
      </c>
      <c r="Y278" s="204" t="str">
        <f t="shared" si="50"/>
        <v xml:space="preserve">  </v>
      </c>
      <c r="Z278" s="204" t="str">
        <f t="shared" si="50"/>
        <v xml:space="preserve">  </v>
      </c>
      <c r="AA278" s="204" t="str">
        <f t="shared" si="55"/>
        <v xml:space="preserve">  </v>
      </c>
      <c r="AB278" s="204" t="str">
        <f t="shared" si="54"/>
        <v xml:space="preserve">  </v>
      </c>
      <c r="AC278" s="204" t="str">
        <f t="shared" si="54"/>
        <v xml:space="preserve">  </v>
      </c>
    </row>
    <row r="279" spans="1:29" x14ac:dyDescent="0.3">
      <c r="A279" s="202">
        <v>41552</v>
      </c>
      <c r="B279" s="203">
        <f t="shared" si="45"/>
        <v>10</v>
      </c>
      <c r="C279" s="203">
        <f t="shared" si="46"/>
        <v>1</v>
      </c>
      <c r="D279" s="201">
        <f t="shared" si="47"/>
        <v>27.116103225806452</v>
      </c>
      <c r="E279" s="201">
        <f t="shared" si="48"/>
        <v>36.5152</v>
      </c>
      <c r="F279" s="201">
        <f t="shared" si="49"/>
        <v>18.307569999999998</v>
      </c>
      <c r="G279" s="201">
        <f>SUM(D$2:D279)</f>
        <v>29009.710316129058</v>
      </c>
      <c r="H279" s="201">
        <f>SUM(E$2:E279)</f>
        <v>38997.395399999943</v>
      </c>
      <c r="I279" s="201">
        <f>SUM(F$2:F279)</f>
        <v>13943.939239999996</v>
      </c>
      <c r="J279" s="201">
        <f>Model!F$51</f>
        <v>23678.322499999998</v>
      </c>
      <c r="K279" s="201">
        <f>Model!G$51</f>
        <v>26052.648000000005</v>
      </c>
      <c r="L279" s="201">
        <f>Model!H$51</f>
        <v>27478.056499999995</v>
      </c>
      <c r="M279" s="201">
        <f>Model!I$51</f>
        <v>28903.236999999997</v>
      </c>
      <c r="N279" s="201">
        <f>Model!J$51</f>
        <v>29853.18</v>
      </c>
      <c r="O279" s="201">
        <f>Model!K$51</f>
        <v>0</v>
      </c>
      <c r="P279" s="201">
        <f>Model!L$51</f>
        <v>0</v>
      </c>
      <c r="Q279" s="201">
        <f>Model!M$51</f>
        <v>0</v>
      </c>
      <c r="R279" s="201">
        <f>Model!N$51</f>
        <v>0</v>
      </c>
      <c r="S279" s="201">
        <f>Model!R$51</f>
        <v>25000</v>
      </c>
      <c r="T279" s="204" t="str">
        <f t="shared" si="51"/>
        <v xml:space="preserve">  </v>
      </c>
      <c r="U279" s="204" t="str">
        <f t="shared" si="52"/>
        <v xml:space="preserve">  </v>
      </c>
      <c r="V279" s="204" t="str">
        <f t="shared" si="53"/>
        <v/>
      </c>
      <c r="W279" s="204" t="str">
        <f t="shared" si="50"/>
        <v xml:space="preserve">  </v>
      </c>
      <c r="X279" s="204" t="str">
        <f t="shared" si="50"/>
        <v/>
      </c>
      <c r="Y279" s="204" t="str">
        <f t="shared" si="50"/>
        <v xml:space="preserve">  </v>
      </c>
      <c r="Z279" s="204" t="str">
        <f t="shared" si="50"/>
        <v xml:space="preserve">  </v>
      </c>
      <c r="AA279" s="204" t="str">
        <f t="shared" si="55"/>
        <v xml:space="preserve">  </v>
      </c>
      <c r="AB279" s="204" t="str">
        <f t="shared" si="54"/>
        <v xml:space="preserve">  </v>
      </c>
      <c r="AC279" s="204" t="str">
        <f t="shared" si="54"/>
        <v xml:space="preserve">  </v>
      </c>
    </row>
    <row r="280" spans="1:29" x14ac:dyDescent="0.3">
      <c r="A280" s="202">
        <v>41553</v>
      </c>
      <c r="B280" s="203">
        <f t="shared" si="45"/>
        <v>10</v>
      </c>
      <c r="C280" s="203">
        <f t="shared" si="46"/>
        <v>1</v>
      </c>
      <c r="D280" s="201">
        <f t="shared" si="47"/>
        <v>27.116103225806452</v>
      </c>
      <c r="E280" s="201">
        <f t="shared" si="48"/>
        <v>36.5152</v>
      </c>
      <c r="F280" s="201">
        <f t="shared" si="49"/>
        <v>18.307569999999998</v>
      </c>
      <c r="G280" s="201">
        <f>SUM(D$2:D280)</f>
        <v>29036.826419354864</v>
      </c>
      <c r="H280" s="201">
        <f>SUM(E$2:E280)</f>
        <v>39033.910599999945</v>
      </c>
      <c r="I280" s="201">
        <f>SUM(F$2:F280)</f>
        <v>13962.246809999997</v>
      </c>
      <c r="J280" s="201">
        <f>Model!F$51</f>
        <v>23678.322499999998</v>
      </c>
      <c r="K280" s="201">
        <f>Model!G$51</f>
        <v>26052.648000000005</v>
      </c>
      <c r="L280" s="201">
        <f>Model!H$51</f>
        <v>27478.056499999995</v>
      </c>
      <c r="M280" s="201">
        <f>Model!I$51</f>
        <v>28903.236999999997</v>
      </c>
      <c r="N280" s="201">
        <f>Model!J$51</f>
        <v>29853.18</v>
      </c>
      <c r="O280" s="201">
        <f>Model!K$51</f>
        <v>0</v>
      </c>
      <c r="P280" s="201">
        <f>Model!L$51</f>
        <v>0</v>
      </c>
      <c r="Q280" s="201">
        <f>Model!M$51</f>
        <v>0</v>
      </c>
      <c r="R280" s="201">
        <f>Model!N$51</f>
        <v>0</v>
      </c>
      <c r="S280" s="201">
        <f>Model!R$51</f>
        <v>25000</v>
      </c>
      <c r="T280" s="204" t="str">
        <f t="shared" si="51"/>
        <v xml:space="preserve">  </v>
      </c>
      <c r="U280" s="204" t="str">
        <f t="shared" si="52"/>
        <v xml:space="preserve">  </v>
      </c>
      <c r="V280" s="204" t="str">
        <f t="shared" si="53"/>
        <v/>
      </c>
      <c r="W280" s="204" t="str">
        <f t="shared" si="50"/>
        <v xml:space="preserve">  </v>
      </c>
      <c r="X280" s="204" t="str">
        <f t="shared" si="50"/>
        <v/>
      </c>
      <c r="Y280" s="204" t="str">
        <f t="shared" si="50"/>
        <v xml:space="preserve">  </v>
      </c>
      <c r="Z280" s="204" t="str">
        <f t="shared" si="50"/>
        <v xml:space="preserve">  </v>
      </c>
      <c r="AA280" s="204" t="str">
        <f t="shared" si="55"/>
        <v xml:space="preserve">  </v>
      </c>
      <c r="AB280" s="204" t="str">
        <f t="shared" si="54"/>
        <v xml:space="preserve">  </v>
      </c>
      <c r="AC280" s="204" t="str">
        <f t="shared" si="54"/>
        <v xml:space="preserve">  </v>
      </c>
    </row>
    <row r="281" spans="1:29" x14ac:dyDescent="0.3">
      <c r="A281" s="202">
        <v>41554</v>
      </c>
      <c r="B281" s="203">
        <f t="shared" si="45"/>
        <v>10</v>
      </c>
      <c r="C281" s="203">
        <f t="shared" si="46"/>
        <v>1</v>
      </c>
      <c r="D281" s="201">
        <f t="shared" si="47"/>
        <v>27.116103225806452</v>
      </c>
      <c r="E281" s="201">
        <f t="shared" si="48"/>
        <v>36.5152</v>
      </c>
      <c r="F281" s="201">
        <f t="shared" si="49"/>
        <v>18.307569999999998</v>
      </c>
      <c r="G281" s="201">
        <f>SUM(D$2:D281)</f>
        <v>29063.94252258067</v>
      </c>
      <c r="H281" s="201">
        <f>SUM(E$2:E281)</f>
        <v>39070.425799999946</v>
      </c>
      <c r="I281" s="201">
        <f>SUM(F$2:F281)</f>
        <v>13980.554379999998</v>
      </c>
      <c r="J281" s="201">
        <f>Model!F$51</f>
        <v>23678.322499999998</v>
      </c>
      <c r="K281" s="201">
        <f>Model!G$51</f>
        <v>26052.648000000005</v>
      </c>
      <c r="L281" s="201">
        <f>Model!H$51</f>
        <v>27478.056499999995</v>
      </c>
      <c r="M281" s="201">
        <f>Model!I$51</f>
        <v>28903.236999999997</v>
      </c>
      <c r="N281" s="201">
        <f>Model!J$51</f>
        <v>29853.18</v>
      </c>
      <c r="O281" s="201">
        <f>Model!K$51</f>
        <v>0</v>
      </c>
      <c r="P281" s="201">
        <f>Model!L$51</f>
        <v>0</v>
      </c>
      <c r="Q281" s="201">
        <f>Model!M$51</f>
        <v>0</v>
      </c>
      <c r="R281" s="201">
        <f>Model!N$51</f>
        <v>0</v>
      </c>
      <c r="S281" s="201">
        <f>Model!R$51</f>
        <v>25000</v>
      </c>
      <c r="T281" s="204" t="str">
        <f t="shared" si="51"/>
        <v xml:space="preserve">  </v>
      </c>
      <c r="U281" s="204" t="str">
        <f t="shared" si="52"/>
        <v xml:space="preserve">  </v>
      </c>
      <c r="V281" s="204" t="str">
        <f t="shared" si="53"/>
        <v/>
      </c>
      <c r="W281" s="204" t="str">
        <f t="shared" si="50"/>
        <v xml:space="preserve">  </v>
      </c>
      <c r="X281" s="204" t="str">
        <f t="shared" si="50"/>
        <v/>
      </c>
      <c r="Y281" s="204" t="str">
        <f t="shared" si="50"/>
        <v xml:space="preserve">  </v>
      </c>
      <c r="Z281" s="204" t="str">
        <f t="shared" si="50"/>
        <v xml:space="preserve">  </v>
      </c>
      <c r="AA281" s="204" t="str">
        <f t="shared" si="55"/>
        <v xml:space="preserve">  </v>
      </c>
      <c r="AB281" s="204" t="str">
        <f t="shared" si="54"/>
        <v xml:space="preserve">  </v>
      </c>
      <c r="AC281" s="204" t="str">
        <f t="shared" si="54"/>
        <v xml:space="preserve">  </v>
      </c>
    </row>
    <row r="282" spans="1:29" x14ac:dyDescent="0.3">
      <c r="A282" s="202">
        <v>41555</v>
      </c>
      <c r="B282" s="203">
        <f t="shared" si="45"/>
        <v>10</v>
      </c>
      <c r="C282" s="203">
        <f t="shared" si="46"/>
        <v>1</v>
      </c>
      <c r="D282" s="201">
        <f t="shared" si="47"/>
        <v>27.116103225806452</v>
      </c>
      <c r="E282" s="201">
        <f t="shared" si="48"/>
        <v>36.5152</v>
      </c>
      <c r="F282" s="201">
        <f t="shared" si="49"/>
        <v>18.307569999999998</v>
      </c>
      <c r="G282" s="201">
        <f>SUM(D$2:D282)</f>
        <v>29091.058625806476</v>
      </c>
      <c r="H282" s="201">
        <f>SUM(E$2:E282)</f>
        <v>39106.940999999948</v>
      </c>
      <c r="I282" s="201">
        <f>SUM(F$2:F282)</f>
        <v>13998.861949999999</v>
      </c>
      <c r="J282" s="201">
        <f>Model!F$51</f>
        <v>23678.322499999998</v>
      </c>
      <c r="K282" s="201">
        <f>Model!G$51</f>
        <v>26052.648000000005</v>
      </c>
      <c r="L282" s="201">
        <f>Model!H$51</f>
        <v>27478.056499999995</v>
      </c>
      <c r="M282" s="201">
        <f>Model!I$51</f>
        <v>28903.236999999997</v>
      </c>
      <c r="N282" s="201">
        <f>Model!J$51</f>
        <v>29853.18</v>
      </c>
      <c r="O282" s="201">
        <f>Model!K$51</f>
        <v>0</v>
      </c>
      <c r="P282" s="201">
        <f>Model!L$51</f>
        <v>0</v>
      </c>
      <c r="Q282" s="201">
        <f>Model!M$51</f>
        <v>0</v>
      </c>
      <c r="R282" s="201">
        <f>Model!N$51</f>
        <v>0</v>
      </c>
      <c r="S282" s="201">
        <f>Model!R$51</f>
        <v>25000</v>
      </c>
      <c r="T282" s="204" t="str">
        <f t="shared" si="51"/>
        <v xml:space="preserve">  </v>
      </c>
      <c r="U282" s="204" t="str">
        <f t="shared" si="52"/>
        <v xml:space="preserve">  </v>
      </c>
      <c r="V282" s="204" t="str">
        <f t="shared" si="53"/>
        <v/>
      </c>
      <c r="W282" s="204" t="str">
        <f t="shared" si="50"/>
        <v xml:space="preserve">  </v>
      </c>
      <c r="X282" s="204" t="str">
        <f t="shared" si="50"/>
        <v/>
      </c>
      <c r="Y282" s="204" t="str">
        <f t="shared" si="50"/>
        <v xml:space="preserve">  </v>
      </c>
      <c r="Z282" s="204" t="str">
        <f t="shared" si="50"/>
        <v xml:space="preserve">  </v>
      </c>
      <c r="AA282" s="204" t="str">
        <f t="shared" si="55"/>
        <v xml:space="preserve">  </v>
      </c>
      <c r="AB282" s="204" t="str">
        <f t="shared" si="54"/>
        <v xml:space="preserve">  </v>
      </c>
      <c r="AC282" s="204" t="str">
        <f t="shared" si="54"/>
        <v xml:space="preserve">  </v>
      </c>
    </row>
    <row r="283" spans="1:29" x14ac:dyDescent="0.3">
      <c r="A283" s="202">
        <v>41556</v>
      </c>
      <c r="B283" s="203">
        <f t="shared" si="45"/>
        <v>10</v>
      </c>
      <c r="C283" s="203">
        <f t="shared" si="46"/>
        <v>1</v>
      </c>
      <c r="D283" s="201">
        <f t="shared" si="47"/>
        <v>27.116103225806452</v>
      </c>
      <c r="E283" s="201">
        <f t="shared" si="48"/>
        <v>36.5152</v>
      </c>
      <c r="F283" s="201">
        <f t="shared" si="49"/>
        <v>18.307569999999998</v>
      </c>
      <c r="G283" s="201">
        <f>SUM(D$2:D283)</f>
        <v>29118.174729032282</v>
      </c>
      <c r="H283" s="201">
        <f>SUM(E$2:E283)</f>
        <v>39143.45619999995</v>
      </c>
      <c r="I283" s="201">
        <f>SUM(F$2:F283)</f>
        <v>14017.169519999999</v>
      </c>
      <c r="J283" s="201">
        <f>Model!F$51</f>
        <v>23678.322499999998</v>
      </c>
      <c r="K283" s="201">
        <f>Model!G$51</f>
        <v>26052.648000000005</v>
      </c>
      <c r="L283" s="201">
        <f>Model!H$51</f>
        <v>27478.056499999995</v>
      </c>
      <c r="M283" s="201">
        <f>Model!I$51</f>
        <v>28903.236999999997</v>
      </c>
      <c r="N283" s="201">
        <f>Model!J$51</f>
        <v>29853.18</v>
      </c>
      <c r="O283" s="201">
        <f>Model!K$51</f>
        <v>0</v>
      </c>
      <c r="P283" s="201">
        <f>Model!L$51</f>
        <v>0</v>
      </c>
      <c r="Q283" s="201">
        <f>Model!M$51</f>
        <v>0</v>
      </c>
      <c r="R283" s="201">
        <f>Model!N$51</f>
        <v>0</v>
      </c>
      <c r="S283" s="201">
        <f>Model!R$51</f>
        <v>25000</v>
      </c>
      <c r="T283" s="204" t="str">
        <f t="shared" si="51"/>
        <v xml:space="preserve">  </v>
      </c>
      <c r="U283" s="204" t="str">
        <f t="shared" si="52"/>
        <v xml:space="preserve">  </v>
      </c>
      <c r="V283" s="204" t="str">
        <f t="shared" si="53"/>
        <v/>
      </c>
      <c r="W283" s="204" t="str">
        <f t="shared" si="50"/>
        <v xml:space="preserve">  </v>
      </c>
      <c r="X283" s="204" t="str">
        <f t="shared" si="50"/>
        <v/>
      </c>
      <c r="Y283" s="204" t="str">
        <f t="shared" si="50"/>
        <v xml:space="preserve">  </v>
      </c>
      <c r="Z283" s="204" t="str">
        <f t="shared" si="50"/>
        <v xml:space="preserve">  </v>
      </c>
      <c r="AA283" s="204" t="str">
        <f t="shared" si="55"/>
        <v xml:space="preserve">  </v>
      </c>
      <c r="AB283" s="204" t="str">
        <f t="shared" si="54"/>
        <v xml:space="preserve">  </v>
      </c>
      <c r="AC283" s="204" t="str">
        <f t="shared" si="54"/>
        <v xml:space="preserve">  </v>
      </c>
    </row>
    <row r="284" spans="1:29" x14ac:dyDescent="0.3">
      <c r="A284" s="202">
        <v>41557</v>
      </c>
      <c r="B284" s="203">
        <f t="shared" si="45"/>
        <v>10</v>
      </c>
      <c r="C284" s="203">
        <f t="shared" si="46"/>
        <v>1</v>
      </c>
      <c r="D284" s="201">
        <f t="shared" si="47"/>
        <v>27.116103225806452</v>
      </c>
      <c r="E284" s="201">
        <f t="shared" si="48"/>
        <v>36.5152</v>
      </c>
      <c r="F284" s="201">
        <f t="shared" si="49"/>
        <v>18.307569999999998</v>
      </c>
      <c r="G284" s="201">
        <f>SUM(D$2:D284)</f>
        <v>29145.290832258088</v>
      </c>
      <c r="H284" s="201">
        <f>SUM(E$2:E284)</f>
        <v>39179.971399999951</v>
      </c>
      <c r="I284" s="201">
        <f>SUM(F$2:F284)</f>
        <v>14035.47709</v>
      </c>
      <c r="J284" s="201">
        <f>Model!F$51</f>
        <v>23678.322499999998</v>
      </c>
      <c r="K284" s="201">
        <f>Model!G$51</f>
        <v>26052.648000000005</v>
      </c>
      <c r="L284" s="201">
        <f>Model!H$51</f>
        <v>27478.056499999995</v>
      </c>
      <c r="M284" s="201">
        <f>Model!I$51</f>
        <v>28903.236999999997</v>
      </c>
      <c r="N284" s="201">
        <f>Model!J$51</f>
        <v>29853.18</v>
      </c>
      <c r="O284" s="201">
        <f>Model!K$51</f>
        <v>0</v>
      </c>
      <c r="P284" s="201">
        <f>Model!L$51</f>
        <v>0</v>
      </c>
      <c r="Q284" s="201">
        <f>Model!M$51</f>
        <v>0</v>
      </c>
      <c r="R284" s="201">
        <f>Model!N$51</f>
        <v>0</v>
      </c>
      <c r="S284" s="201">
        <f>Model!R$51</f>
        <v>25000</v>
      </c>
      <c r="T284" s="204" t="str">
        <f t="shared" si="51"/>
        <v xml:space="preserve">  </v>
      </c>
      <c r="U284" s="204" t="str">
        <f t="shared" si="52"/>
        <v xml:space="preserve">  </v>
      </c>
      <c r="V284" s="204" t="str">
        <f t="shared" si="53"/>
        <v/>
      </c>
      <c r="W284" s="204" t="str">
        <f t="shared" si="50"/>
        <v xml:space="preserve">  </v>
      </c>
      <c r="X284" s="204" t="str">
        <f t="shared" si="50"/>
        <v/>
      </c>
      <c r="Y284" s="204" t="str">
        <f t="shared" si="50"/>
        <v xml:space="preserve">  </v>
      </c>
      <c r="Z284" s="204" t="str">
        <f t="shared" si="50"/>
        <v xml:space="preserve">  </v>
      </c>
      <c r="AA284" s="204" t="str">
        <f t="shared" si="55"/>
        <v xml:space="preserve">  </v>
      </c>
      <c r="AB284" s="204" t="str">
        <f t="shared" si="54"/>
        <v xml:space="preserve">  </v>
      </c>
      <c r="AC284" s="204" t="str">
        <f t="shared" si="54"/>
        <v xml:space="preserve">  </v>
      </c>
    </row>
    <row r="285" spans="1:29" x14ac:dyDescent="0.3">
      <c r="A285" s="202">
        <v>41558</v>
      </c>
      <c r="B285" s="203">
        <f t="shared" si="45"/>
        <v>10</v>
      </c>
      <c r="C285" s="203">
        <f t="shared" si="46"/>
        <v>1</v>
      </c>
      <c r="D285" s="201">
        <f t="shared" si="47"/>
        <v>27.116103225806452</v>
      </c>
      <c r="E285" s="201">
        <f t="shared" si="48"/>
        <v>36.5152</v>
      </c>
      <c r="F285" s="201">
        <f t="shared" si="49"/>
        <v>18.307569999999998</v>
      </c>
      <c r="G285" s="201">
        <f>SUM(D$2:D285)</f>
        <v>29172.406935483894</v>
      </c>
      <c r="H285" s="201">
        <f>SUM(E$2:E285)</f>
        <v>39216.486599999953</v>
      </c>
      <c r="I285" s="201">
        <f>SUM(F$2:F285)</f>
        <v>14053.784660000001</v>
      </c>
      <c r="J285" s="201">
        <f>Model!F$51</f>
        <v>23678.322499999998</v>
      </c>
      <c r="K285" s="201">
        <f>Model!G$51</f>
        <v>26052.648000000005</v>
      </c>
      <c r="L285" s="201">
        <f>Model!H$51</f>
        <v>27478.056499999995</v>
      </c>
      <c r="M285" s="201">
        <f>Model!I$51</f>
        <v>28903.236999999997</v>
      </c>
      <c r="N285" s="201">
        <f>Model!J$51</f>
        <v>29853.18</v>
      </c>
      <c r="O285" s="201">
        <f>Model!K$51</f>
        <v>0</v>
      </c>
      <c r="P285" s="201">
        <f>Model!L$51</f>
        <v>0</v>
      </c>
      <c r="Q285" s="201">
        <f>Model!M$51</f>
        <v>0</v>
      </c>
      <c r="R285" s="201">
        <f>Model!N$51</f>
        <v>0</v>
      </c>
      <c r="S285" s="201">
        <f>Model!R$51</f>
        <v>25000</v>
      </c>
      <c r="T285" s="204" t="str">
        <f t="shared" si="51"/>
        <v xml:space="preserve">  </v>
      </c>
      <c r="U285" s="204" t="str">
        <f t="shared" si="52"/>
        <v xml:space="preserve">  </v>
      </c>
      <c r="V285" s="204" t="str">
        <f t="shared" si="53"/>
        <v/>
      </c>
      <c r="W285" s="204" t="str">
        <f t="shared" si="50"/>
        <v xml:space="preserve">  </v>
      </c>
      <c r="X285" s="204" t="str">
        <f t="shared" si="50"/>
        <v/>
      </c>
      <c r="Y285" s="204" t="str">
        <f t="shared" si="50"/>
        <v xml:space="preserve">  </v>
      </c>
      <c r="Z285" s="204" t="str">
        <f t="shared" si="50"/>
        <v xml:space="preserve">  </v>
      </c>
      <c r="AA285" s="204" t="str">
        <f t="shared" si="55"/>
        <v xml:space="preserve">  </v>
      </c>
      <c r="AB285" s="204" t="str">
        <f t="shared" si="54"/>
        <v xml:space="preserve">  </v>
      </c>
      <c r="AC285" s="204" t="str">
        <f t="shared" si="54"/>
        <v xml:space="preserve">  </v>
      </c>
    </row>
    <row r="286" spans="1:29" x14ac:dyDescent="0.3">
      <c r="A286" s="202">
        <v>41559</v>
      </c>
      <c r="B286" s="203">
        <f t="shared" si="45"/>
        <v>10</v>
      </c>
      <c r="C286" s="203">
        <f t="shared" si="46"/>
        <v>1</v>
      </c>
      <c r="D286" s="201">
        <f t="shared" si="47"/>
        <v>27.116103225806452</v>
      </c>
      <c r="E286" s="201">
        <f t="shared" si="48"/>
        <v>36.5152</v>
      </c>
      <c r="F286" s="201">
        <f t="shared" si="49"/>
        <v>18.307569999999998</v>
      </c>
      <c r="G286" s="201">
        <f>SUM(D$2:D286)</f>
        <v>29199.5230387097</v>
      </c>
      <c r="H286" s="201">
        <f>SUM(E$2:E286)</f>
        <v>39253.001799999955</v>
      </c>
      <c r="I286" s="201">
        <f>SUM(F$2:F286)</f>
        <v>14072.092230000002</v>
      </c>
      <c r="J286" s="201">
        <f>Model!F$51</f>
        <v>23678.322499999998</v>
      </c>
      <c r="K286" s="201">
        <f>Model!G$51</f>
        <v>26052.648000000005</v>
      </c>
      <c r="L286" s="201">
        <f>Model!H$51</f>
        <v>27478.056499999995</v>
      </c>
      <c r="M286" s="201">
        <f>Model!I$51</f>
        <v>28903.236999999997</v>
      </c>
      <c r="N286" s="201">
        <f>Model!J$51</f>
        <v>29853.18</v>
      </c>
      <c r="O286" s="201">
        <f>Model!K$51</f>
        <v>0</v>
      </c>
      <c r="P286" s="201">
        <f>Model!L$51</f>
        <v>0</v>
      </c>
      <c r="Q286" s="201">
        <f>Model!M$51</f>
        <v>0</v>
      </c>
      <c r="R286" s="201">
        <f>Model!N$51</f>
        <v>0</v>
      </c>
      <c r="S286" s="201">
        <f>Model!R$51</f>
        <v>25000</v>
      </c>
      <c r="T286" s="204" t="str">
        <f t="shared" si="51"/>
        <v xml:space="preserve">  </v>
      </c>
      <c r="U286" s="204" t="str">
        <f t="shared" si="52"/>
        <v xml:space="preserve">  </v>
      </c>
      <c r="V286" s="204" t="str">
        <f t="shared" si="53"/>
        <v/>
      </c>
      <c r="W286" s="204" t="str">
        <f t="shared" si="50"/>
        <v xml:space="preserve">  </v>
      </c>
      <c r="X286" s="204" t="str">
        <f t="shared" si="50"/>
        <v/>
      </c>
      <c r="Y286" s="204" t="str">
        <f t="shared" si="50"/>
        <v xml:space="preserve">  </v>
      </c>
      <c r="Z286" s="204" t="str">
        <f t="shared" si="50"/>
        <v xml:space="preserve">  </v>
      </c>
      <c r="AA286" s="204" t="str">
        <f t="shared" si="55"/>
        <v xml:space="preserve">  </v>
      </c>
      <c r="AB286" s="204" t="str">
        <f t="shared" si="54"/>
        <v xml:space="preserve">  </v>
      </c>
      <c r="AC286" s="204" t="str">
        <f t="shared" si="54"/>
        <v xml:space="preserve">  </v>
      </c>
    </row>
    <row r="287" spans="1:29" x14ac:dyDescent="0.3">
      <c r="A287" s="202">
        <v>41560</v>
      </c>
      <c r="B287" s="203">
        <f t="shared" si="45"/>
        <v>10</v>
      </c>
      <c r="C287" s="203">
        <f t="shared" si="46"/>
        <v>1</v>
      </c>
      <c r="D287" s="201">
        <f t="shared" si="47"/>
        <v>27.116103225806452</v>
      </c>
      <c r="E287" s="201">
        <f t="shared" si="48"/>
        <v>36.5152</v>
      </c>
      <c r="F287" s="201">
        <f t="shared" si="49"/>
        <v>18.307569999999998</v>
      </c>
      <c r="G287" s="201">
        <f>SUM(D$2:D287)</f>
        <v>29226.639141935506</v>
      </c>
      <c r="H287" s="201">
        <f>SUM(E$2:E287)</f>
        <v>39289.516999999956</v>
      </c>
      <c r="I287" s="201">
        <f>SUM(F$2:F287)</f>
        <v>14090.399800000003</v>
      </c>
      <c r="J287" s="201">
        <f>Model!F$51</f>
        <v>23678.322499999998</v>
      </c>
      <c r="K287" s="201">
        <f>Model!G$51</f>
        <v>26052.648000000005</v>
      </c>
      <c r="L287" s="201">
        <f>Model!H$51</f>
        <v>27478.056499999995</v>
      </c>
      <c r="M287" s="201">
        <f>Model!I$51</f>
        <v>28903.236999999997</v>
      </c>
      <c r="N287" s="201">
        <f>Model!J$51</f>
        <v>29853.18</v>
      </c>
      <c r="O287" s="201">
        <f>Model!K$51</f>
        <v>0</v>
      </c>
      <c r="P287" s="201">
        <f>Model!L$51</f>
        <v>0</v>
      </c>
      <c r="Q287" s="201">
        <f>Model!M$51</f>
        <v>0</v>
      </c>
      <c r="R287" s="201">
        <f>Model!N$51</f>
        <v>0</v>
      </c>
      <c r="S287" s="201">
        <f>Model!R$51</f>
        <v>25000</v>
      </c>
      <c r="T287" s="204" t="str">
        <f t="shared" si="51"/>
        <v xml:space="preserve">  </v>
      </c>
      <c r="U287" s="204" t="str">
        <f t="shared" si="52"/>
        <v xml:space="preserve">  </v>
      </c>
      <c r="V287" s="204" t="str">
        <f t="shared" si="53"/>
        <v/>
      </c>
      <c r="W287" s="204" t="str">
        <f t="shared" si="50"/>
        <v xml:space="preserve">  </v>
      </c>
      <c r="X287" s="204" t="str">
        <f t="shared" si="50"/>
        <v/>
      </c>
      <c r="Y287" s="204" t="str">
        <f t="shared" si="50"/>
        <v xml:space="preserve">  </v>
      </c>
      <c r="Z287" s="204" t="str">
        <f t="shared" si="50"/>
        <v xml:space="preserve">  </v>
      </c>
      <c r="AA287" s="204" t="str">
        <f t="shared" si="55"/>
        <v xml:space="preserve">  </v>
      </c>
      <c r="AB287" s="204" t="str">
        <f t="shared" si="54"/>
        <v xml:space="preserve">  </v>
      </c>
      <c r="AC287" s="204" t="str">
        <f t="shared" si="54"/>
        <v xml:space="preserve">  </v>
      </c>
    </row>
    <row r="288" spans="1:29" x14ac:dyDescent="0.3">
      <c r="A288" s="202">
        <v>41561</v>
      </c>
      <c r="B288" s="203">
        <f t="shared" si="45"/>
        <v>10</v>
      </c>
      <c r="C288" s="203">
        <f t="shared" si="46"/>
        <v>1</v>
      </c>
      <c r="D288" s="201">
        <f t="shared" si="47"/>
        <v>27.116103225806452</v>
      </c>
      <c r="E288" s="201">
        <f t="shared" si="48"/>
        <v>36.5152</v>
      </c>
      <c r="F288" s="201">
        <f t="shared" si="49"/>
        <v>18.307569999999998</v>
      </c>
      <c r="G288" s="201">
        <f>SUM(D$2:D288)</f>
        <v>29253.755245161312</v>
      </c>
      <c r="H288" s="201">
        <f>SUM(E$2:E288)</f>
        <v>39326.032199999958</v>
      </c>
      <c r="I288" s="201">
        <f>SUM(F$2:F288)</f>
        <v>14108.707370000004</v>
      </c>
      <c r="J288" s="201">
        <f>Model!F$51</f>
        <v>23678.322499999998</v>
      </c>
      <c r="K288" s="201">
        <f>Model!G$51</f>
        <v>26052.648000000005</v>
      </c>
      <c r="L288" s="201">
        <f>Model!H$51</f>
        <v>27478.056499999995</v>
      </c>
      <c r="M288" s="201">
        <f>Model!I$51</f>
        <v>28903.236999999997</v>
      </c>
      <c r="N288" s="201">
        <f>Model!J$51</f>
        <v>29853.18</v>
      </c>
      <c r="O288" s="201">
        <f>Model!K$51</f>
        <v>0</v>
      </c>
      <c r="P288" s="201">
        <f>Model!L$51</f>
        <v>0</v>
      </c>
      <c r="Q288" s="201">
        <f>Model!M$51</f>
        <v>0</v>
      </c>
      <c r="R288" s="201">
        <f>Model!N$51</f>
        <v>0</v>
      </c>
      <c r="S288" s="201">
        <f>Model!R$51</f>
        <v>25000</v>
      </c>
      <c r="T288" s="204" t="str">
        <f t="shared" si="51"/>
        <v xml:space="preserve">  </v>
      </c>
      <c r="U288" s="204" t="str">
        <f t="shared" si="52"/>
        <v xml:space="preserve">  </v>
      </c>
      <c r="V288" s="204" t="str">
        <f t="shared" si="53"/>
        <v/>
      </c>
      <c r="W288" s="204" t="str">
        <f t="shared" si="50"/>
        <v xml:space="preserve">  </v>
      </c>
      <c r="X288" s="204" t="str">
        <f t="shared" si="50"/>
        <v/>
      </c>
      <c r="Y288" s="204" t="str">
        <f t="shared" si="50"/>
        <v xml:space="preserve">  </v>
      </c>
      <c r="Z288" s="204" t="str">
        <f t="shared" si="50"/>
        <v xml:space="preserve">  </v>
      </c>
      <c r="AA288" s="204" t="str">
        <f t="shared" si="55"/>
        <v xml:space="preserve">  </v>
      </c>
      <c r="AB288" s="204" t="str">
        <f t="shared" si="54"/>
        <v xml:space="preserve">  </v>
      </c>
      <c r="AC288" s="204" t="str">
        <f t="shared" si="54"/>
        <v xml:space="preserve">  </v>
      </c>
    </row>
    <row r="289" spans="1:29" x14ac:dyDescent="0.3">
      <c r="A289" s="202">
        <v>41562</v>
      </c>
      <c r="B289" s="203">
        <f t="shared" si="45"/>
        <v>10</v>
      </c>
      <c r="C289" s="203">
        <f t="shared" si="46"/>
        <v>1</v>
      </c>
      <c r="D289" s="201">
        <f t="shared" si="47"/>
        <v>27.116103225806452</v>
      </c>
      <c r="E289" s="201">
        <f t="shared" si="48"/>
        <v>36.5152</v>
      </c>
      <c r="F289" s="201">
        <f t="shared" si="49"/>
        <v>18.307569999999998</v>
      </c>
      <c r="G289" s="201">
        <f>SUM(D$2:D289)</f>
        <v>29280.871348387118</v>
      </c>
      <c r="H289" s="201">
        <f>SUM(E$2:E289)</f>
        <v>39362.547399999959</v>
      </c>
      <c r="I289" s="201">
        <f>SUM(F$2:F289)</f>
        <v>14127.014940000005</v>
      </c>
      <c r="J289" s="201">
        <f>Model!F$51</f>
        <v>23678.322499999998</v>
      </c>
      <c r="K289" s="201">
        <f>Model!G$51</f>
        <v>26052.648000000005</v>
      </c>
      <c r="L289" s="201">
        <f>Model!H$51</f>
        <v>27478.056499999995</v>
      </c>
      <c r="M289" s="201">
        <f>Model!I$51</f>
        <v>28903.236999999997</v>
      </c>
      <c r="N289" s="201">
        <f>Model!J$51</f>
        <v>29853.18</v>
      </c>
      <c r="O289" s="201">
        <f>Model!K$51</f>
        <v>0</v>
      </c>
      <c r="P289" s="201">
        <f>Model!L$51</f>
        <v>0</v>
      </c>
      <c r="Q289" s="201">
        <f>Model!M$51</f>
        <v>0</v>
      </c>
      <c r="R289" s="201">
        <f>Model!N$51</f>
        <v>0</v>
      </c>
      <c r="S289" s="201">
        <f>Model!R$51</f>
        <v>25000</v>
      </c>
      <c r="T289" s="204" t="str">
        <f t="shared" si="51"/>
        <v xml:space="preserve">  </v>
      </c>
      <c r="U289" s="204" t="str">
        <f t="shared" si="52"/>
        <v xml:space="preserve">  </v>
      </c>
      <c r="V289" s="204" t="str">
        <f t="shared" si="53"/>
        <v/>
      </c>
      <c r="W289" s="204" t="str">
        <f t="shared" si="50"/>
        <v xml:space="preserve">  </v>
      </c>
      <c r="X289" s="204" t="str">
        <f t="shared" si="50"/>
        <v/>
      </c>
      <c r="Y289" s="204" t="str">
        <f t="shared" si="50"/>
        <v xml:space="preserve">  </v>
      </c>
      <c r="Z289" s="204" t="str">
        <f t="shared" si="50"/>
        <v xml:space="preserve">  </v>
      </c>
      <c r="AA289" s="204" t="str">
        <f t="shared" si="55"/>
        <v xml:space="preserve">  </v>
      </c>
      <c r="AB289" s="204" t="str">
        <f t="shared" si="54"/>
        <v xml:space="preserve">  </v>
      </c>
      <c r="AC289" s="204" t="str">
        <f t="shared" si="54"/>
        <v xml:space="preserve">  </v>
      </c>
    </row>
    <row r="290" spans="1:29" x14ac:dyDescent="0.3">
      <c r="A290" s="202">
        <v>41563</v>
      </c>
      <c r="B290" s="203">
        <f t="shared" si="45"/>
        <v>10</v>
      </c>
      <c r="C290" s="203">
        <f t="shared" si="46"/>
        <v>1</v>
      </c>
      <c r="D290" s="201">
        <f t="shared" si="47"/>
        <v>27.116103225806452</v>
      </c>
      <c r="E290" s="201">
        <f t="shared" si="48"/>
        <v>36.5152</v>
      </c>
      <c r="F290" s="201">
        <f t="shared" si="49"/>
        <v>18.307569999999998</v>
      </c>
      <c r="G290" s="201">
        <f>SUM(D$2:D290)</f>
        <v>29307.987451612924</v>
      </c>
      <c r="H290" s="201">
        <f>SUM(E$2:E290)</f>
        <v>39399.062599999961</v>
      </c>
      <c r="I290" s="201">
        <f>SUM(F$2:F290)</f>
        <v>14145.322510000005</v>
      </c>
      <c r="J290" s="201">
        <f>Model!F$51</f>
        <v>23678.322499999998</v>
      </c>
      <c r="K290" s="201">
        <f>Model!G$51</f>
        <v>26052.648000000005</v>
      </c>
      <c r="L290" s="201">
        <f>Model!H$51</f>
        <v>27478.056499999995</v>
      </c>
      <c r="M290" s="201">
        <f>Model!I$51</f>
        <v>28903.236999999997</v>
      </c>
      <c r="N290" s="201">
        <f>Model!J$51</f>
        <v>29853.18</v>
      </c>
      <c r="O290" s="201">
        <f>Model!K$51</f>
        <v>0</v>
      </c>
      <c r="P290" s="201">
        <f>Model!L$51</f>
        <v>0</v>
      </c>
      <c r="Q290" s="201">
        <f>Model!M$51</f>
        <v>0</v>
      </c>
      <c r="R290" s="201">
        <f>Model!N$51</f>
        <v>0</v>
      </c>
      <c r="S290" s="201">
        <f>Model!R$51</f>
        <v>25000</v>
      </c>
      <c r="T290" s="204" t="str">
        <f t="shared" si="51"/>
        <v xml:space="preserve">  </v>
      </c>
      <c r="U290" s="204" t="str">
        <f t="shared" si="52"/>
        <v xml:space="preserve">  </v>
      </c>
      <c r="V290" s="204" t="str">
        <f t="shared" si="53"/>
        <v/>
      </c>
      <c r="W290" s="204" t="str">
        <f t="shared" si="50"/>
        <v xml:space="preserve">  </v>
      </c>
      <c r="X290" s="204" t="str">
        <f t="shared" si="50"/>
        <v/>
      </c>
      <c r="Y290" s="204" t="str">
        <f t="shared" si="50"/>
        <v xml:space="preserve">  </v>
      </c>
      <c r="Z290" s="204" t="str">
        <f t="shared" si="50"/>
        <v xml:space="preserve">  </v>
      </c>
      <c r="AA290" s="204" t="str">
        <f t="shared" si="55"/>
        <v xml:space="preserve">  </v>
      </c>
      <c r="AB290" s="204" t="str">
        <f t="shared" si="54"/>
        <v xml:space="preserve">  </v>
      </c>
      <c r="AC290" s="204" t="str">
        <f t="shared" si="54"/>
        <v xml:space="preserve">  </v>
      </c>
    </row>
    <row r="291" spans="1:29" x14ac:dyDescent="0.3">
      <c r="A291" s="202">
        <v>41564</v>
      </c>
      <c r="B291" s="203">
        <f t="shared" si="45"/>
        <v>10</v>
      </c>
      <c r="C291" s="203">
        <f t="shared" si="46"/>
        <v>1</v>
      </c>
      <c r="D291" s="201">
        <f t="shared" si="47"/>
        <v>27.116103225806452</v>
      </c>
      <c r="E291" s="201">
        <f t="shared" si="48"/>
        <v>36.5152</v>
      </c>
      <c r="F291" s="201">
        <f t="shared" si="49"/>
        <v>18.307569999999998</v>
      </c>
      <c r="G291" s="201">
        <f>SUM(D$2:D291)</f>
        <v>29335.10355483873</v>
      </c>
      <c r="H291" s="201">
        <f>SUM(E$2:E291)</f>
        <v>39435.577799999963</v>
      </c>
      <c r="I291" s="201">
        <f>SUM(F$2:F291)</f>
        <v>14163.630080000006</v>
      </c>
      <c r="J291" s="201">
        <f>Model!F$51</f>
        <v>23678.322499999998</v>
      </c>
      <c r="K291" s="201">
        <f>Model!G$51</f>
        <v>26052.648000000005</v>
      </c>
      <c r="L291" s="201">
        <f>Model!H$51</f>
        <v>27478.056499999995</v>
      </c>
      <c r="M291" s="201">
        <f>Model!I$51</f>
        <v>28903.236999999997</v>
      </c>
      <c r="N291" s="201">
        <f>Model!J$51</f>
        <v>29853.18</v>
      </c>
      <c r="O291" s="201">
        <f>Model!K$51</f>
        <v>0</v>
      </c>
      <c r="P291" s="201">
        <f>Model!L$51</f>
        <v>0</v>
      </c>
      <c r="Q291" s="201">
        <f>Model!M$51</f>
        <v>0</v>
      </c>
      <c r="R291" s="201">
        <f>Model!N$51</f>
        <v>0</v>
      </c>
      <c r="S291" s="201">
        <f>Model!R$51</f>
        <v>25000</v>
      </c>
      <c r="T291" s="204" t="str">
        <f t="shared" ref="T291:T322" si="56">IF(ISNUMBER(T290),"  ",IF(T290="  ","  ",IF($G291&gt;J291,$A291,"")))</f>
        <v xml:space="preserve">  </v>
      </c>
      <c r="U291" s="204" t="str">
        <f t="shared" si="52"/>
        <v xml:space="preserve">  </v>
      </c>
      <c r="V291" s="204" t="str">
        <f t="shared" si="53"/>
        <v/>
      </c>
      <c r="W291" s="204" t="str">
        <f t="shared" si="50"/>
        <v xml:space="preserve">  </v>
      </c>
      <c r="X291" s="204" t="str">
        <f t="shared" si="50"/>
        <v/>
      </c>
      <c r="Y291" s="204" t="str">
        <f t="shared" si="50"/>
        <v xml:space="preserve">  </v>
      </c>
      <c r="Z291" s="204" t="str">
        <f t="shared" si="50"/>
        <v xml:space="preserve">  </v>
      </c>
      <c r="AA291" s="204" t="str">
        <f t="shared" si="55"/>
        <v xml:space="preserve">  </v>
      </c>
      <c r="AB291" s="204" t="str">
        <f t="shared" si="54"/>
        <v xml:space="preserve">  </v>
      </c>
      <c r="AC291" s="204" t="str">
        <f t="shared" si="54"/>
        <v xml:space="preserve">  </v>
      </c>
    </row>
    <row r="292" spans="1:29" x14ac:dyDescent="0.3">
      <c r="A292" s="202">
        <v>41565</v>
      </c>
      <c r="B292" s="203">
        <f t="shared" si="45"/>
        <v>10</v>
      </c>
      <c r="C292" s="203">
        <f t="shared" si="46"/>
        <v>1</v>
      </c>
      <c r="D292" s="201">
        <f t="shared" si="47"/>
        <v>27.116103225806452</v>
      </c>
      <c r="E292" s="201">
        <f t="shared" si="48"/>
        <v>36.5152</v>
      </c>
      <c r="F292" s="201">
        <f t="shared" si="49"/>
        <v>18.307569999999998</v>
      </c>
      <c r="G292" s="201">
        <f>SUM(D$2:D292)</f>
        <v>29362.219658064536</v>
      </c>
      <c r="H292" s="201">
        <f>SUM(E$2:E292)</f>
        <v>39472.092999999964</v>
      </c>
      <c r="I292" s="201">
        <f>SUM(F$2:F292)</f>
        <v>14181.937650000007</v>
      </c>
      <c r="J292" s="201">
        <f>Model!F$51</f>
        <v>23678.322499999998</v>
      </c>
      <c r="K292" s="201">
        <f>Model!G$51</f>
        <v>26052.648000000005</v>
      </c>
      <c r="L292" s="201">
        <f>Model!H$51</f>
        <v>27478.056499999995</v>
      </c>
      <c r="M292" s="201">
        <f>Model!I$51</f>
        <v>28903.236999999997</v>
      </c>
      <c r="N292" s="201">
        <f>Model!J$51</f>
        <v>29853.18</v>
      </c>
      <c r="O292" s="201">
        <f>Model!K$51</f>
        <v>0</v>
      </c>
      <c r="P292" s="201">
        <f>Model!L$51</f>
        <v>0</v>
      </c>
      <c r="Q292" s="201">
        <f>Model!M$51</f>
        <v>0</v>
      </c>
      <c r="R292" s="201">
        <f>Model!N$51</f>
        <v>0</v>
      </c>
      <c r="S292" s="201">
        <f>Model!R$51</f>
        <v>25000</v>
      </c>
      <c r="T292" s="204" t="str">
        <f t="shared" si="56"/>
        <v xml:space="preserve">  </v>
      </c>
      <c r="U292" s="204" t="str">
        <f t="shared" si="52"/>
        <v xml:space="preserve">  </v>
      </c>
      <c r="V292" s="204" t="str">
        <f t="shared" si="53"/>
        <v/>
      </c>
      <c r="W292" s="204" t="str">
        <f t="shared" si="50"/>
        <v xml:space="preserve">  </v>
      </c>
      <c r="X292" s="204" t="str">
        <f t="shared" si="50"/>
        <v/>
      </c>
      <c r="Y292" s="204" t="str">
        <f t="shared" si="50"/>
        <v xml:space="preserve">  </v>
      </c>
      <c r="Z292" s="204" t="str">
        <f t="shared" si="50"/>
        <v xml:space="preserve">  </v>
      </c>
      <c r="AA292" s="204" t="str">
        <f t="shared" si="55"/>
        <v xml:space="preserve">  </v>
      </c>
      <c r="AB292" s="204" t="str">
        <f t="shared" si="54"/>
        <v xml:space="preserve">  </v>
      </c>
      <c r="AC292" s="204" t="str">
        <f t="shared" si="54"/>
        <v xml:space="preserve">  </v>
      </c>
    </row>
    <row r="293" spans="1:29" x14ac:dyDescent="0.3">
      <c r="A293" s="202">
        <v>41566</v>
      </c>
      <c r="B293" s="203">
        <f t="shared" si="45"/>
        <v>10</v>
      </c>
      <c r="C293" s="203">
        <f t="shared" si="46"/>
        <v>1</v>
      </c>
      <c r="D293" s="201">
        <f t="shared" si="47"/>
        <v>27.116103225806452</v>
      </c>
      <c r="E293" s="201">
        <f t="shared" si="48"/>
        <v>36.5152</v>
      </c>
      <c r="F293" s="201">
        <f t="shared" si="49"/>
        <v>18.307569999999998</v>
      </c>
      <c r="G293" s="201">
        <f>SUM(D$2:D293)</f>
        <v>29389.335761290342</v>
      </c>
      <c r="H293" s="201">
        <f>SUM(E$2:E293)</f>
        <v>39508.608199999966</v>
      </c>
      <c r="I293" s="201">
        <f>SUM(F$2:F293)</f>
        <v>14200.245220000008</v>
      </c>
      <c r="J293" s="201">
        <f>Model!F$51</f>
        <v>23678.322499999998</v>
      </c>
      <c r="K293" s="201">
        <f>Model!G$51</f>
        <v>26052.648000000005</v>
      </c>
      <c r="L293" s="201">
        <f>Model!H$51</f>
        <v>27478.056499999995</v>
      </c>
      <c r="M293" s="201">
        <f>Model!I$51</f>
        <v>28903.236999999997</v>
      </c>
      <c r="N293" s="201">
        <f>Model!J$51</f>
        <v>29853.18</v>
      </c>
      <c r="O293" s="201">
        <f>Model!K$51</f>
        <v>0</v>
      </c>
      <c r="P293" s="201">
        <f>Model!L$51</f>
        <v>0</v>
      </c>
      <c r="Q293" s="201">
        <f>Model!M$51</f>
        <v>0</v>
      </c>
      <c r="R293" s="201">
        <f>Model!N$51</f>
        <v>0</v>
      </c>
      <c r="S293" s="201">
        <f>Model!R$51</f>
        <v>25000</v>
      </c>
      <c r="T293" s="204" t="str">
        <f t="shared" si="56"/>
        <v xml:space="preserve">  </v>
      </c>
      <c r="U293" s="204" t="str">
        <f t="shared" si="52"/>
        <v xml:space="preserve">  </v>
      </c>
      <c r="V293" s="204" t="str">
        <f t="shared" si="53"/>
        <v/>
      </c>
      <c r="W293" s="204" t="str">
        <f t="shared" si="50"/>
        <v xml:space="preserve">  </v>
      </c>
      <c r="X293" s="204" t="str">
        <f t="shared" si="50"/>
        <v/>
      </c>
      <c r="Y293" s="204" t="str">
        <f t="shared" si="50"/>
        <v xml:space="preserve">  </v>
      </c>
      <c r="Z293" s="204" t="str">
        <f t="shared" si="50"/>
        <v xml:space="preserve">  </v>
      </c>
      <c r="AA293" s="204" t="str">
        <f t="shared" ref="AA293:AA324" si="57">IF(ISNUMBER(AA292),"  ",IF(AA292="  ","  ",IF($G293&gt;Q293,$A293,"")))</f>
        <v xml:space="preserve">  </v>
      </c>
      <c r="AB293" s="204" t="str">
        <f t="shared" si="54"/>
        <v xml:space="preserve">  </v>
      </c>
      <c r="AC293" s="204" t="str">
        <f t="shared" si="54"/>
        <v xml:space="preserve">  </v>
      </c>
    </row>
    <row r="294" spans="1:29" x14ac:dyDescent="0.3">
      <c r="A294" s="202">
        <v>41567</v>
      </c>
      <c r="B294" s="203">
        <f t="shared" si="45"/>
        <v>10</v>
      </c>
      <c r="C294" s="203">
        <f t="shared" si="46"/>
        <v>1</v>
      </c>
      <c r="D294" s="201">
        <f t="shared" si="47"/>
        <v>27.116103225806452</v>
      </c>
      <c r="E294" s="201">
        <f t="shared" si="48"/>
        <v>36.5152</v>
      </c>
      <c r="F294" s="201">
        <f t="shared" si="49"/>
        <v>18.307569999999998</v>
      </c>
      <c r="G294" s="201">
        <f>SUM(D$2:D294)</f>
        <v>29416.451864516148</v>
      </c>
      <c r="H294" s="201">
        <f>SUM(E$2:E294)</f>
        <v>39545.123399999968</v>
      </c>
      <c r="I294" s="201">
        <f>SUM(F$2:F294)</f>
        <v>14218.552790000009</v>
      </c>
      <c r="J294" s="201">
        <f>Model!F$51</f>
        <v>23678.322499999998</v>
      </c>
      <c r="K294" s="201">
        <f>Model!G$51</f>
        <v>26052.648000000005</v>
      </c>
      <c r="L294" s="201">
        <f>Model!H$51</f>
        <v>27478.056499999995</v>
      </c>
      <c r="M294" s="201">
        <f>Model!I$51</f>
        <v>28903.236999999997</v>
      </c>
      <c r="N294" s="201">
        <f>Model!J$51</f>
        <v>29853.18</v>
      </c>
      <c r="O294" s="201">
        <f>Model!K$51</f>
        <v>0</v>
      </c>
      <c r="P294" s="201">
        <f>Model!L$51</f>
        <v>0</v>
      </c>
      <c r="Q294" s="201">
        <f>Model!M$51</f>
        <v>0</v>
      </c>
      <c r="R294" s="201">
        <f>Model!N$51</f>
        <v>0</v>
      </c>
      <c r="S294" s="201">
        <f>Model!R$51</f>
        <v>25000</v>
      </c>
      <c r="T294" s="204" t="str">
        <f t="shared" si="56"/>
        <v xml:space="preserve">  </v>
      </c>
      <c r="U294" s="204" t="str">
        <f t="shared" si="52"/>
        <v xml:space="preserve">  </v>
      </c>
      <c r="V294" s="204" t="str">
        <f t="shared" si="53"/>
        <v/>
      </c>
      <c r="W294" s="204" t="str">
        <f t="shared" si="50"/>
        <v xml:space="preserve">  </v>
      </c>
      <c r="X294" s="204" t="str">
        <f t="shared" si="50"/>
        <v/>
      </c>
      <c r="Y294" s="204" t="str">
        <f t="shared" si="50"/>
        <v xml:space="preserve">  </v>
      </c>
      <c r="Z294" s="204" t="str">
        <f t="shared" si="50"/>
        <v xml:space="preserve">  </v>
      </c>
      <c r="AA294" s="204" t="str">
        <f t="shared" si="57"/>
        <v xml:space="preserve">  </v>
      </c>
      <c r="AB294" s="204" t="str">
        <f t="shared" si="54"/>
        <v xml:space="preserve">  </v>
      </c>
      <c r="AC294" s="204" t="str">
        <f t="shared" si="54"/>
        <v xml:space="preserve">  </v>
      </c>
    </row>
    <row r="295" spans="1:29" x14ac:dyDescent="0.3">
      <c r="A295" s="202">
        <v>41568</v>
      </c>
      <c r="B295" s="203">
        <f t="shared" si="45"/>
        <v>10</v>
      </c>
      <c r="C295" s="203">
        <f t="shared" si="46"/>
        <v>1</v>
      </c>
      <c r="D295" s="201">
        <f t="shared" si="47"/>
        <v>27.116103225806452</v>
      </c>
      <c r="E295" s="201">
        <f t="shared" si="48"/>
        <v>36.5152</v>
      </c>
      <c r="F295" s="201">
        <f t="shared" si="49"/>
        <v>18.307569999999998</v>
      </c>
      <c r="G295" s="201">
        <f>SUM(D$2:D295)</f>
        <v>29443.567967741954</v>
      </c>
      <c r="H295" s="201">
        <f>SUM(E$2:E295)</f>
        <v>39581.638599999969</v>
      </c>
      <c r="I295" s="201">
        <f>SUM(F$2:F295)</f>
        <v>14236.86036000001</v>
      </c>
      <c r="J295" s="201">
        <f>Model!F$51</f>
        <v>23678.322499999998</v>
      </c>
      <c r="K295" s="201">
        <f>Model!G$51</f>
        <v>26052.648000000005</v>
      </c>
      <c r="L295" s="201">
        <f>Model!H$51</f>
        <v>27478.056499999995</v>
      </c>
      <c r="M295" s="201">
        <f>Model!I$51</f>
        <v>28903.236999999997</v>
      </c>
      <c r="N295" s="201">
        <f>Model!J$51</f>
        <v>29853.18</v>
      </c>
      <c r="O295" s="201">
        <f>Model!K$51</f>
        <v>0</v>
      </c>
      <c r="P295" s="201">
        <f>Model!L$51</f>
        <v>0</v>
      </c>
      <c r="Q295" s="201">
        <f>Model!M$51</f>
        <v>0</v>
      </c>
      <c r="R295" s="201">
        <f>Model!N$51</f>
        <v>0</v>
      </c>
      <c r="S295" s="201">
        <f>Model!R$51</f>
        <v>25000</v>
      </c>
      <c r="T295" s="204" t="str">
        <f t="shared" si="56"/>
        <v xml:space="preserve">  </v>
      </c>
      <c r="U295" s="204" t="str">
        <f t="shared" si="52"/>
        <v xml:space="preserve">  </v>
      </c>
      <c r="V295" s="204" t="str">
        <f t="shared" si="53"/>
        <v/>
      </c>
      <c r="W295" s="204" t="str">
        <f t="shared" si="50"/>
        <v xml:space="preserve">  </v>
      </c>
      <c r="X295" s="204" t="str">
        <f t="shared" si="50"/>
        <v/>
      </c>
      <c r="Y295" s="204" t="str">
        <f t="shared" si="50"/>
        <v xml:space="preserve">  </v>
      </c>
      <c r="Z295" s="204" t="str">
        <f t="shared" si="50"/>
        <v xml:space="preserve">  </v>
      </c>
      <c r="AA295" s="204" t="str">
        <f t="shared" si="57"/>
        <v xml:space="preserve">  </v>
      </c>
      <c r="AB295" s="204" t="str">
        <f t="shared" si="54"/>
        <v xml:space="preserve">  </v>
      </c>
      <c r="AC295" s="204" t="str">
        <f t="shared" si="54"/>
        <v xml:space="preserve">  </v>
      </c>
    </row>
    <row r="296" spans="1:29" x14ac:dyDescent="0.3">
      <c r="A296" s="202">
        <v>41569</v>
      </c>
      <c r="B296" s="203">
        <f t="shared" si="45"/>
        <v>10</v>
      </c>
      <c r="C296" s="203">
        <f t="shared" si="46"/>
        <v>1</v>
      </c>
      <c r="D296" s="201">
        <f t="shared" si="47"/>
        <v>27.116103225806452</v>
      </c>
      <c r="E296" s="201">
        <f t="shared" si="48"/>
        <v>36.5152</v>
      </c>
      <c r="F296" s="201">
        <f t="shared" si="49"/>
        <v>18.307569999999998</v>
      </c>
      <c r="G296" s="201">
        <f>SUM(D$2:D296)</f>
        <v>29470.68407096776</v>
      </c>
      <c r="H296" s="201">
        <f>SUM(E$2:E296)</f>
        <v>39618.153799999971</v>
      </c>
      <c r="I296" s="201">
        <f>SUM(F$2:F296)</f>
        <v>14255.167930000011</v>
      </c>
      <c r="J296" s="201">
        <f>Model!F$51</f>
        <v>23678.322499999998</v>
      </c>
      <c r="K296" s="201">
        <f>Model!G$51</f>
        <v>26052.648000000005</v>
      </c>
      <c r="L296" s="201">
        <f>Model!H$51</f>
        <v>27478.056499999995</v>
      </c>
      <c r="M296" s="201">
        <f>Model!I$51</f>
        <v>28903.236999999997</v>
      </c>
      <c r="N296" s="201">
        <f>Model!J$51</f>
        <v>29853.18</v>
      </c>
      <c r="O296" s="201">
        <f>Model!K$51</f>
        <v>0</v>
      </c>
      <c r="P296" s="201">
        <f>Model!L$51</f>
        <v>0</v>
      </c>
      <c r="Q296" s="201">
        <f>Model!M$51</f>
        <v>0</v>
      </c>
      <c r="R296" s="201">
        <f>Model!N$51</f>
        <v>0</v>
      </c>
      <c r="S296" s="201">
        <f>Model!R$51</f>
        <v>25000</v>
      </c>
      <c r="T296" s="204" t="str">
        <f t="shared" si="56"/>
        <v xml:space="preserve">  </v>
      </c>
      <c r="U296" s="204" t="str">
        <f t="shared" si="52"/>
        <v xml:space="preserve">  </v>
      </c>
      <c r="V296" s="204" t="str">
        <f t="shared" si="53"/>
        <v/>
      </c>
      <c r="W296" s="204" t="str">
        <f t="shared" si="50"/>
        <v xml:space="preserve">  </v>
      </c>
      <c r="X296" s="204" t="str">
        <f t="shared" si="50"/>
        <v/>
      </c>
      <c r="Y296" s="204" t="str">
        <f t="shared" si="50"/>
        <v xml:space="preserve">  </v>
      </c>
      <c r="Z296" s="204" t="str">
        <f t="shared" si="50"/>
        <v xml:space="preserve">  </v>
      </c>
      <c r="AA296" s="204" t="str">
        <f t="shared" si="57"/>
        <v xml:space="preserve">  </v>
      </c>
      <c r="AB296" s="204" t="str">
        <f t="shared" si="54"/>
        <v xml:space="preserve">  </v>
      </c>
      <c r="AC296" s="204" t="str">
        <f t="shared" si="54"/>
        <v xml:space="preserve">  </v>
      </c>
    </row>
    <row r="297" spans="1:29" x14ac:dyDescent="0.3">
      <c r="A297" s="202">
        <v>41570</v>
      </c>
      <c r="B297" s="203">
        <f t="shared" si="45"/>
        <v>10</v>
      </c>
      <c r="C297" s="203">
        <f t="shared" si="46"/>
        <v>1</v>
      </c>
      <c r="D297" s="201">
        <f t="shared" si="47"/>
        <v>27.116103225806452</v>
      </c>
      <c r="E297" s="201">
        <f t="shared" si="48"/>
        <v>36.5152</v>
      </c>
      <c r="F297" s="201">
        <f t="shared" si="49"/>
        <v>18.307569999999998</v>
      </c>
      <c r="G297" s="201">
        <f>SUM(D$2:D297)</f>
        <v>29497.800174193566</v>
      </c>
      <c r="H297" s="201">
        <f>SUM(E$2:E297)</f>
        <v>39654.668999999973</v>
      </c>
      <c r="I297" s="201">
        <f>SUM(F$2:F297)</f>
        <v>14273.475500000011</v>
      </c>
      <c r="J297" s="201">
        <f>Model!F$51</f>
        <v>23678.322499999998</v>
      </c>
      <c r="K297" s="201">
        <f>Model!G$51</f>
        <v>26052.648000000005</v>
      </c>
      <c r="L297" s="201">
        <f>Model!H$51</f>
        <v>27478.056499999995</v>
      </c>
      <c r="M297" s="201">
        <f>Model!I$51</f>
        <v>28903.236999999997</v>
      </c>
      <c r="N297" s="201">
        <f>Model!J$51</f>
        <v>29853.18</v>
      </c>
      <c r="O297" s="201">
        <f>Model!K$51</f>
        <v>0</v>
      </c>
      <c r="P297" s="201">
        <f>Model!L$51</f>
        <v>0</v>
      </c>
      <c r="Q297" s="201">
        <f>Model!M$51</f>
        <v>0</v>
      </c>
      <c r="R297" s="201">
        <f>Model!N$51</f>
        <v>0</v>
      </c>
      <c r="S297" s="201">
        <f>Model!R$51</f>
        <v>25000</v>
      </c>
      <c r="T297" s="204" t="str">
        <f t="shared" si="56"/>
        <v xml:space="preserve">  </v>
      </c>
      <c r="U297" s="204" t="str">
        <f t="shared" si="52"/>
        <v xml:space="preserve">  </v>
      </c>
      <c r="V297" s="204" t="str">
        <f t="shared" si="53"/>
        <v/>
      </c>
      <c r="W297" s="204" t="str">
        <f t="shared" si="50"/>
        <v xml:space="preserve">  </v>
      </c>
      <c r="X297" s="204" t="str">
        <f t="shared" si="50"/>
        <v/>
      </c>
      <c r="Y297" s="204" t="str">
        <f t="shared" si="50"/>
        <v xml:space="preserve">  </v>
      </c>
      <c r="Z297" s="204" t="str">
        <f t="shared" si="50"/>
        <v xml:space="preserve">  </v>
      </c>
      <c r="AA297" s="204" t="str">
        <f t="shared" si="57"/>
        <v xml:space="preserve">  </v>
      </c>
      <c r="AB297" s="204" t="str">
        <f t="shared" si="54"/>
        <v xml:space="preserve">  </v>
      </c>
      <c r="AC297" s="204" t="str">
        <f t="shared" si="54"/>
        <v xml:space="preserve">  </v>
      </c>
    </row>
    <row r="298" spans="1:29" x14ac:dyDescent="0.3">
      <c r="A298" s="202">
        <v>41571</v>
      </c>
      <c r="B298" s="203">
        <f t="shared" si="45"/>
        <v>10</v>
      </c>
      <c r="C298" s="203">
        <f t="shared" si="46"/>
        <v>1</v>
      </c>
      <c r="D298" s="201">
        <f t="shared" si="47"/>
        <v>27.116103225806452</v>
      </c>
      <c r="E298" s="201">
        <f t="shared" si="48"/>
        <v>36.5152</v>
      </c>
      <c r="F298" s="201">
        <f t="shared" si="49"/>
        <v>18.307569999999998</v>
      </c>
      <c r="G298" s="201">
        <f>SUM(D$2:D298)</f>
        <v>29524.916277419372</v>
      </c>
      <c r="H298" s="201">
        <f>SUM(E$2:E298)</f>
        <v>39691.184199999974</v>
      </c>
      <c r="I298" s="201">
        <f>SUM(F$2:F298)</f>
        <v>14291.783070000012</v>
      </c>
      <c r="J298" s="201">
        <f>Model!F$51</f>
        <v>23678.322499999998</v>
      </c>
      <c r="K298" s="201">
        <f>Model!G$51</f>
        <v>26052.648000000005</v>
      </c>
      <c r="L298" s="201">
        <f>Model!H$51</f>
        <v>27478.056499999995</v>
      </c>
      <c r="M298" s="201">
        <f>Model!I$51</f>
        <v>28903.236999999997</v>
      </c>
      <c r="N298" s="201">
        <f>Model!J$51</f>
        <v>29853.18</v>
      </c>
      <c r="O298" s="201">
        <f>Model!K$51</f>
        <v>0</v>
      </c>
      <c r="P298" s="201">
        <f>Model!L$51</f>
        <v>0</v>
      </c>
      <c r="Q298" s="201">
        <f>Model!M$51</f>
        <v>0</v>
      </c>
      <c r="R298" s="201">
        <f>Model!N$51</f>
        <v>0</v>
      </c>
      <c r="S298" s="201">
        <f>Model!R$51</f>
        <v>25000</v>
      </c>
      <c r="T298" s="204" t="str">
        <f t="shared" si="56"/>
        <v xml:space="preserve">  </v>
      </c>
      <c r="U298" s="204" t="str">
        <f t="shared" si="52"/>
        <v xml:space="preserve">  </v>
      </c>
      <c r="V298" s="204" t="str">
        <f t="shared" si="53"/>
        <v/>
      </c>
      <c r="W298" s="204" t="str">
        <f t="shared" si="50"/>
        <v xml:space="preserve">  </v>
      </c>
      <c r="X298" s="204" t="str">
        <f t="shared" si="50"/>
        <v/>
      </c>
      <c r="Y298" s="204" t="str">
        <f t="shared" si="50"/>
        <v xml:space="preserve">  </v>
      </c>
      <c r="Z298" s="204" t="str">
        <f t="shared" si="50"/>
        <v xml:space="preserve">  </v>
      </c>
      <c r="AA298" s="204" t="str">
        <f t="shared" si="57"/>
        <v xml:space="preserve">  </v>
      </c>
      <c r="AB298" s="204" t="str">
        <f t="shared" si="54"/>
        <v xml:space="preserve">  </v>
      </c>
      <c r="AC298" s="204" t="str">
        <f t="shared" si="54"/>
        <v xml:space="preserve">  </v>
      </c>
    </row>
    <row r="299" spans="1:29" x14ac:dyDescent="0.3">
      <c r="A299" s="202">
        <v>41572</v>
      </c>
      <c r="B299" s="203">
        <f t="shared" si="45"/>
        <v>10</v>
      </c>
      <c r="C299" s="203">
        <f t="shared" si="46"/>
        <v>1</v>
      </c>
      <c r="D299" s="201">
        <f t="shared" si="47"/>
        <v>27.116103225806452</v>
      </c>
      <c r="E299" s="201">
        <f t="shared" si="48"/>
        <v>36.5152</v>
      </c>
      <c r="F299" s="201">
        <f t="shared" si="49"/>
        <v>18.307569999999998</v>
      </c>
      <c r="G299" s="201">
        <f>SUM(D$2:D299)</f>
        <v>29552.032380645178</v>
      </c>
      <c r="H299" s="201">
        <f>SUM(E$2:E299)</f>
        <v>39727.699399999976</v>
      </c>
      <c r="I299" s="201">
        <f>SUM(F$2:F299)</f>
        <v>14310.090640000013</v>
      </c>
      <c r="J299" s="201">
        <f>Model!F$51</f>
        <v>23678.322499999998</v>
      </c>
      <c r="K299" s="201">
        <f>Model!G$51</f>
        <v>26052.648000000005</v>
      </c>
      <c r="L299" s="201">
        <f>Model!H$51</f>
        <v>27478.056499999995</v>
      </c>
      <c r="M299" s="201">
        <f>Model!I$51</f>
        <v>28903.236999999997</v>
      </c>
      <c r="N299" s="201">
        <f>Model!J$51</f>
        <v>29853.18</v>
      </c>
      <c r="O299" s="201">
        <f>Model!K$51</f>
        <v>0</v>
      </c>
      <c r="P299" s="201">
        <f>Model!L$51</f>
        <v>0</v>
      </c>
      <c r="Q299" s="201">
        <f>Model!M$51</f>
        <v>0</v>
      </c>
      <c r="R299" s="201">
        <f>Model!N$51</f>
        <v>0</v>
      </c>
      <c r="S299" s="201">
        <f>Model!R$51</f>
        <v>25000</v>
      </c>
      <c r="T299" s="204" t="str">
        <f t="shared" si="56"/>
        <v xml:space="preserve">  </v>
      </c>
      <c r="U299" s="204" t="str">
        <f t="shared" si="52"/>
        <v xml:space="preserve">  </v>
      </c>
      <c r="V299" s="204" t="str">
        <f t="shared" si="53"/>
        <v/>
      </c>
      <c r="W299" s="204" t="str">
        <f t="shared" si="50"/>
        <v xml:space="preserve">  </v>
      </c>
      <c r="X299" s="204" t="str">
        <f t="shared" si="50"/>
        <v/>
      </c>
      <c r="Y299" s="204" t="str">
        <f t="shared" si="50"/>
        <v xml:space="preserve">  </v>
      </c>
      <c r="Z299" s="204" t="str">
        <f t="shared" si="50"/>
        <v xml:space="preserve">  </v>
      </c>
      <c r="AA299" s="204" t="str">
        <f t="shared" si="57"/>
        <v xml:space="preserve">  </v>
      </c>
      <c r="AB299" s="204" t="str">
        <f t="shared" si="54"/>
        <v xml:space="preserve">  </v>
      </c>
      <c r="AC299" s="204" t="str">
        <f t="shared" si="54"/>
        <v xml:space="preserve">  </v>
      </c>
    </row>
    <row r="300" spans="1:29" x14ac:dyDescent="0.3">
      <c r="A300" s="202">
        <v>41573</v>
      </c>
      <c r="B300" s="203">
        <f t="shared" si="45"/>
        <v>10</v>
      </c>
      <c r="C300" s="203">
        <f t="shared" si="46"/>
        <v>1</v>
      </c>
      <c r="D300" s="201">
        <f t="shared" si="47"/>
        <v>27.116103225806452</v>
      </c>
      <c r="E300" s="201">
        <f t="shared" si="48"/>
        <v>36.5152</v>
      </c>
      <c r="F300" s="201">
        <f t="shared" si="49"/>
        <v>18.307569999999998</v>
      </c>
      <c r="G300" s="201">
        <f>SUM(D$2:D300)</f>
        <v>29579.148483870984</v>
      </c>
      <c r="H300" s="201">
        <f>SUM(E$2:E300)</f>
        <v>39764.214599999978</v>
      </c>
      <c r="I300" s="201">
        <f>SUM(F$2:F300)</f>
        <v>14328.398210000014</v>
      </c>
      <c r="J300" s="201">
        <f>Model!F$51</f>
        <v>23678.322499999998</v>
      </c>
      <c r="K300" s="201">
        <f>Model!G$51</f>
        <v>26052.648000000005</v>
      </c>
      <c r="L300" s="201">
        <f>Model!H$51</f>
        <v>27478.056499999995</v>
      </c>
      <c r="M300" s="201">
        <f>Model!I$51</f>
        <v>28903.236999999997</v>
      </c>
      <c r="N300" s="201">
        <f>Model!J$51</f>
        <v>29853.18</v>
      </c>
      <c r="O300" s="201">
        <f>Model!K$51</f>
        <v>0</v>
      </c>
      <c r="P300" s="201">
        <f>Model!L$51</f>
        <v>0</v>
      </c>
      <c r="Q300" s="201">
        <f>Model!M$51</f>
        <v>0</v>
      </c>
      <c r="R300" s="201">
        <f>Model!N$51</f>
        <v>0</v>
      </c>
      <c r="S300" s="201">
        <f>Model!R$51</f>
        <v>25000</v>
      </c>
      <c r="T300" s="204" t="str">
        <f t="shared" si="56"/>
        <v xml:space="preserve">  </v>
      </c>
      <c r="U300" s="204" t="str">
        <f t="shared" si="52"/>
        <v xml:space="preserve">  </v>
      </c>
      <c r="V300" s="204" t="str">
        <f t="shared" si="53"/>
        <v/>
      </c>
      <c r="W300" s="204" t="str">
        <f t="shared" si="50"/>
        <v xml:space="preserve">  </v>
      </c>
      <c r="X300" s="204" t="str">
        <f t="shared" si="50"/>
        <v/>
      </c>
      <c r="Y300" s="204" t="str">
        <f t="shared" si="50"/>
        <v xml:space="preserve">  </v>
      </c>
      <c r="Z300" s="204" t="str">
        <f t="shared" si="50"/>
        <v xml:space="preserve">  </v>
      </c>
      <c r="AA300" s="204" t="str">
        <f t="shared" si="57"/>
        <v xml:space="preserve">  </v>
      </c>
      <c r="AB300" s="204" t="str">
        <f t="shared" si="54"/>
        <v xml:space="preserve">  </v>
      </c>
      <c r="AC300" s="204" t="str">
        <f t="shared" si="54"/>
        <v xml:space="preserve">  </v>
      </c>
    </row>
    <row r="301" spans="1:29" x14ac:dyDescent="0.3">
      <c r="A301" s="202">
        <v>41574</v>
      </c>
      <c r="B301" s="203">
        <f t="shared" si="45"/>
        <v>10</v>
      </c>
      <c r="C301" s="203">
        <f t="shared" si="46"/>
        <v>1</v>
      </c>
      <c r="D301" s="201">
        <f t="shared" si="47"/>
        <v>27.116103225806452</v>
      </c>
      <c r="E301" s="201">
        <f t="shared" si="48"/>
        <v>36.5152</v>
      </c>
      <c r="F301" s="201">
        <f t="shared" si="49"/>
        <v>18.307569999999998</v>
      </c>
      <c r="G301" s="201">
        <f>SUM(D$2:D301)</f>
        <v>29606.26458709679</v>
      </c>
      <c r="H301" s="201">
        <f>SUM(E$2:E301)</f>
        <v>39800.729799999979</v>
      </c>
      <c r="I301" s="201">
        <f>SUM(F$2:F301)</f>
        <v>14346.705780000015</v>
      </c>
      <c r="J301" s="201">
        <f>Model!F$51</f>
        <v>23678.322499999998</v>
      </c>
      <c r="K301" s="201">
        <f>Model!G$51</f>
        <v>26052.648000000005</v>
      </c>
      <c r="L301" s="201">
        <f>Model!H$51</f>
        <v>27478.056499999995</v>
      </c>
      <c r="M301" s="201">
        <f>Model!I$51</f>
        <v>28903.236999999997</v>
      </c>
      <c r="N301" s="201">
        <f>Model!J$51</f>
        <v>29853.18</v>
      </c>
      <c r="O301" s="201">
        <f>Model!K$51</f>
        <v>0</v>
      </c>
      <c r="P301" s="201">
        <f>Model!L$51</f>
        <v>0</v>
      </c>
      <c r="Q301" s="201">
        <f>Model!M$51</f>
        <v>0</v>
      </c>
      <c r="R301" s="201">
        <f>Model!N$51</f>
        <v>0</v>
      </c>
      <c r="S301" s="201">
        <f>Model!R$51</f>
        <v>25000</v>
      </c>
      <c r="T301" s="204" t="str">
        <f t="shared" si="56"/>
        <v xml:space="preserve">  </v>
      </c>
      <c r="U301" s="204" t="str">
        <f t="shared" si="52"/>
        <v xml:space="preserve">  </v>
      </c>
      <c r="V301" s="204" t="str">
        <f t="shared" si="53"/>
        <v/>
      </c>
      <c r="W301" s="204" t="str">
        <f t="shared" si="50"/>
        <v xml:space="preserve">  </v>
      </c>
      <c r="X301" s="204" t="str">
        <f t="shared" si="50"/>
        <v/>
      </c>
      <c r="Y301" s="204" t="str">
        <f t="shared" si="50"/>
        <v xml:space="preserve">  </v>
      </c>
      <c r="Z301" s="204" t="str">
        <f t="shared" si="50"/>
        <v xml:space="preserve">  </v>
      </c>
      <c r="AA301" s="204" t="str">
        <f t="shared" si="57"/>
        <v xml:space="preserve">  </v>
      </c>
      <c r="AB301" s="204" t="str">
        <f t="shared" si="54"/>
        <v xml:space="preserve">  </v>
      </c>
      <c r="AC301" s="204" t="str">
        <f t="shared" si="54"/>
        <v xml:space="preserve">  </v>
      </c>
    </row>
    <row r="302" spans="1:29" x14ac:dyDescent="0.3">
      <c r="A302" s="202">
        <v>41575</v>
      </c>
      <c r="B302" s="203">
        <f t="shared" si="45"/>
        <v>10</v>
      </c>
      <c r="C302" s="203">
        <f t="shared" si="46"/>
        <v>1</v>
      </c>
      <c r="D302" s="201">
        <f t="shared" si="47"/>
        <v>27.116103225806452</v>
      </c>
      <c r="E302" s="201">
        <f t="shared" si="48"/>
        <v>36.5152</v>
      </c>
      <c r="F302" s="201">
        <f t="shared" si="49"/>
        <v>18.307569999999998</v>
      </c>
      <c r="G302" s="201">
        <f>SUM(D$2:D302)</f>
        <v>29633.380690322596</v>
      </c>
      <c r="H302" s="201">
        <f>SUM(E$2:E302)</f>
        <v>39837.244999999981</v>
      </c>
      <c r="I302" s="201">
        <f>SUM(F$2:F302)</f>
        <v>14365.013350000016</v>
      </c>
      <c r="J302" s="201">
        <f>Model!F$51</f>
        <v>23678.322499999998</v>
      </c>
      <c r="K302" s="201">
        <f>Model!G$51</f>
        <v>26052.648000000005</v>
      </c>
      <c r="L302" s="201">
        <f>Model!H$51</f>
        <v>27478.056499999995</v>
      </c>
      <c r="M302" s="201">
        <f>Model!I$51</f>
        <v>28903.236999999997</v>
      </c>
      <c r="N302" s="201">
        <f>Model!J$51</f>
        <v>29853.18</v>
      </c>
      <c r="O302" s="201">
        <f>Model!K$51</f>
        <v>0</v>
      </c>
      <c r="P302" s="201">
        <f>Model!L$51</f>
        <v>0</v>
      </c>
      <c r="Q302" s="201">
        <f>Model!M$51</f>
        <v>0</v>
      </c>
      <c r="R302" s="201">
        <f>Model!N$51</f>
        <v>0</v>
      </c>
      <c r="S302" s="201">
        <f>Model!R$51</f>
        <v>25000</v>
      </c>
      <c r="T302" s="204" t="str">
        <f t="shared" si="56"/>
        <v xml:space="preserve">  </v>
      </c>
      <c r="U302" s="204" t="str">
        <f t="shared" si="52"/>
        <v xml:space="preserve">  </v>
      </c>
      <c r="V302" s="204" t="str">
        <f t="shared" si="53"/>
        <v/>
      </c>
      <c r="W302" s="204" t="str">
        <f t="shared" si="50"/>
        <v xml:space="preserve">  </v>
      </c>
      <c r="X302" s="204" t="str">
        <f t="shared" si="50"/>
        <v/>
      </c>
      <c r="Y302" s="204" t="str">
        <f t="shared" si="50"/>
        <v xml:space="preserve">  </v>
      </c>
      <c r="Z302" s="204" t="str">
        <f t="shared" si="50"/>
        <v xml:space="preserve">  </v>
      </c>
      <c r="AA302" s="204" t="str">
        <f t="shared" si="57"/>
        <v xml:space="preserve">  </v>
      </c>
      <c r="AB302" s="204" t="str">
        <f t="shared" si="54"/>
        <v xml:space="preserve">  </v>
      </c>
      <c r="AC302" s="204" t="str">
        <f t="shared" si="54"/>
        <v xml:space="preserve">  </v>
      </c>
    </row>
    <row r="303" spans="1:29" x14ac:dyDescent="0.3">
      <c r="A303" s="202">
        <v>41576</v>
      </c>
      <c r="B303" s="203">
        <f t="shared" si="45"/>
        <v>10</v>
      </c>
      <c r="C303" s="203">
        <f t="shared" si="46"/>
        <v>1</v>
      </c>
      <c r="D303" s="201">
        <f t="shared" si="47"/>
        <v>27.116103225806452</v>
      </c>
      <c r="E303" s="201">
        <f t="shared" si="48"/>
        <v>36.5152</v>
      </c>
      <c r="F303" s="201">
        <f t="shared" si="49"/>
        <v>18.307569999999998</v>
      </c>
      <c r="G303" s="201">
        <f>SUM(D$2:D303)</f>
        <v>29660.496793548402</v>
      </c>
      <c r="H303" s="201">
        <f>SUM(E$2:E303)</f>
        <v>39873.760199999982</v>
      </c>
      <c r="I303" s="201">
        <f>SUM(F$2:F303)</f>
        <v>14383.320920000016</v>
      </c>
      <c r="J303" s="201">
        <f>Model!F$51</f>
        <v>23678.322499999998</v>
      </c>
      <c r="K303" s="201">
        <f>Model!G$51</f>
        <v>26052.648000000005</v>
      </c>
      <c r="L303" s="201">
        <f>Model!H$51</f>
        <v>27478.056499999995</v>
      </c>
      <c r="M303" s="201">
        <f>Model!I$51</f>
        <v>28903.236999999997</v>
      </c>
      <c r="N303" s="201">
        <f>Model!J$51</f>
        <v>29853.18</v>
      </c>
      <c r="O303" s="201">
        <f>Model!K$51</f>
        <v>0</v>
      </c>
      <c r="P303" s="201">
        <f>Model!L$51</f>
        <v>0</v>
      </c>
      <c r="Q303" s="201">
        <f>Model!M$51</f>
        <v>0</v>
      </c>
      <c r="R303" s="201">
        <f>Model!N$51</f>
        <v>0</v>
      </c>
      <c r="S303" s="201">
        <f>Model!R$51</f>
        <v>25000</v>
      </c>
      <c r="T303" s="204" t="str">
        <f t="shared" si="56"/>
        <v xml:space="preserve">  </v>
      </c>
      <c r="U303" s="204" t="str">
        <f t="shared" si="52"/>
        <v xml:space="preserve">  </v>
      </c>
      <c r="V303" s="204" t="str">
        <f t="shared" si="53"/>
        <v/>
      </c>
      <c r="W303" s="204" t="str">
        <f t="shared" si="50"/>
        <v xml:space="preserve">  </v>
      </c>
      <c r="X303" s="204" t="str">
        <f t="shared" si="50"/>
        <v/>
      </c>
      <c r="Y303" s="204" t="str">
        <f t="shared" si="50"/>
        <v xml:space="preserve">  </v>
      </c>
      <c r="Z303" s="204" t="str">
        <f t="shared" si="50"/>
        <v xml:space="preserve">  </v>
      </c>
      <c r="AA303" s="204" t="str">
        <f t="shared" si="57"/>
        <v xml:space="preserve">  </v>
      </c>
      <c r="AB303" s="204" t="str">
        <f t="shared" si="54"/>
        <v xml:space="preserve">  </v>
      </c>
      <c r="AC303" s="204" t="str">
        <f t="shared" si="54"/>
        <v xml:space="preserve">  </v>
      </c>
    </row>
    <row r="304" spans="1:29" x14ac:dyDescent="0.3">
      <c r="A304" s="202">
        <v>41577</v>
      </c>
      <c r="B304" s="203">
        <f t="shared" si="45"/>
        <v>10</v>
      </c>
      <c r="C304" s="203">
        <f t="shared" si="46"/>
        <v>1</v>
      </c>
      <c r="D304" s="201">
        <f t="shared" si="47"/>
        <v>27.116103225806452</v>
      </c>
      <c r="E304" s="201">
        <f t="shared" si="48"/>
        <v>36.5152</v>
      </c>
      <c r="F304" s="201">
        <f t="shared" si="49"/>
        <v>18.307569999999998</v>
      </c>
      <c r="G304" s="201">
        <f>SUM(D$2:D304)</f>
        <v>29687.612896774208</v>
      </c>
      <c r="H304" s="201">
        <f>SUM(E$2:E304)</f>
        <v>39910.275399999984</v>
      </c>
      <c r="I304" s="201">
        <f>SUM(F$2:F304)</f>
        <v>14401.628490000017</v>
      </c>
      <c r="J304" s="201">
        <f>Model!F$51</f>
        <v>23678.322499999998</v>
      </c>
      <c r="K304" s="201">
        <f>Model!G$51</f>
        <v>26052.648000000005</v>
      </c>
      <c r="L304" s="201">
        <f>Model!H$51</f>
        <v>27478.056499999995</v>
      </c>
      <c r="M304" s="201">
        <f>Model!I$51</f>
        <v>28903.236999999997</v>
      </c>
      <c r="N304" s="201">
        <f>Model!J$51</f>
        <v>29853.18</v>
      </c>
      <c r="O304" s="201">
        <f>Model!K$51</f>
        <v>0</v>
      </c>
      <c r="P304" s="201">
        <f>Model!L$51</f>
        <v>0</v>
      </c>
      <c r="Q304" s="201">
        <f>Model!M$51</f>
        <v>0</v>
      </c>
      <c r="R304" s="201">
        <f>Model!N$51</f>
        <v>0</v>
      </c>
      <c r="S304" s="201">
        <f>Model!R$51</f>
        <v>25000</v>
      </c>
      <c r="T304" s="204" t="str">
        <f t="shared" si="56"/>
        <v xml:space="preserve">  </v>
      </c>
      <c r="U304" s="204" t="str">
        <f t="shared" si="52"/>
        <v xml:space="preserve">  </v>
      </c>
      <c r="V304" s="204" t="str">
        <f t="shared" si="53"/>
        <v/>
      </c>
      <c r="W304" s="204" t="str">
        <f t="shared" si="50"/>
        <v xml:space="preserve">  </v>
      </c>
      <c r="X304" s="204" t="str">
        <f t="shared" si="50"/>
        <v/>
      </c>
      <c r="Y304" s="204" t="str">
        <f t="shared" si="50"/>
        <v xml:space="preserve">  </v>
      </c>
      <c r="Z304" s="204" t="str">
        <f t="shared" si="50"/>
        <v xml:space="preserve">  </v>
      </c>
      <c r="AA304" s="204" t="str">
        <f t="shared" si="57"/>
        <v xml:space="preserve">  </v>
      </c>
      <c r="AB304" s="204" t="str">
        <f t="shared" si="54"/>
        <v xml:space="preserve">  </v>
      </c>
      <c r="AC304" s="204" t="str">
        <f t="shared" si="54"/>
        <v xml:space="preserve">  </v>
      </c>
    </row>
    <row r="305" spans="1:29" x14ac:dyDescent="0.3">
      <c r="A305" s="202">
        <v>41578</v>
      </c>
      <c r="B305" s="203">
        <f t="shared" si="45"/>
        <v>10</v>
      </c>
      <c r="C305" s="203">
        <f t="shared" si="46"/>
        <v>1</v>
      </c>
      <c r="D305" s="201">
        <f t="shared" si="47"/>
        <v>27.116103225806452</v>
      </c>
      <c r="E305" s="201">
        <f t="shared" si="48"/>
        <v>36.5152</v>
      </c>
      <c r="F305" s="201">
        <f t="shared" si="49"/>
        <v>18.307569999999998</v>
      </c>
      <c r="G305" s="201">
        <f>SUM(D$2:D305)</f>
        <v>29714.729000000014</v>
      </c>
      <c r="H305" s="201">
        <f>SUM(E$2:E305)</f>
        <v>39946.790599999986</v>
      </c>
      <c r="I305" s="201">
        <f>SUM(F$2:F305)</f>
        <v>14419.936060000018</v>
      </c>
      <c r="J305" s="201">
        <f>Model!F$51</f>
        <v>23678.322499999998</v>
      </c>
      <c r="K305" s="201">
        <f>Model!G$51</f>
        <v>26052.648000000005</v>
      </c>
      <c r="L305" s="201">
        <f>Model!H$51</f>
        <v>27478.056499999995</v>
      </c>
      <c r="M305" s="201">
        <f>Model!I$51</f>
        <v>28903.236999999997</v>
      </c>
      <c r="N305" s="201">
        <f>Model!J$51</f>
        <v>29853.18</v>
      </c>
      <c r="O305" s="201">
        <f>Model!K$51</f>
        <v>0</v>
      </c>
      <c r="P305" s="201">
        <f>Model!L$51</f>
        <v>0</v>
      </c>
      <c r="Q305" s="201">
        <f>Model!M$51</f>
        <v>0</v>
      </c>
      <c r="R305" s="201">
        <f>Model!N$51</f>
        <v>0</v>
      </c>
      <c r="S305" s="201">
        <f>Model!R$51</f>
        <v>25000</v>
      </c>
      <c r="T305" s="204" t="str">
        <f t="shared" si="56"/>
        <v xml:space="preserve">  </v>
      </c>
      <c r="U305" s="204" t="str">
        <f t="shared" si="52"/>
        <v xml:space="preserve">  </v>
      </c>
      <c r="V305" s="204" t="str">
        <f t="shared" si="53"/>
        <v/>
      </c>
      <c r="W305" s="204" t="str">
        <f t="shared" si="50"/>
        <v xml:space="preserve">  </v>
      </c>
      <c r="X305" s="204" t="str">
        <f t="shared" si="50"/>
        <v/>
      </c>
      <c r="Y305" s="204" t="str">
        <f t="shared" si="50"/>
        <v xml:space="preserve">  </v>
      </c>
      <c r="Z305" s="204" t="str">
        <f t="shared" si="50"/>
        <v xml:space="preserve">  </v>
      </c>
      <c r="AA305" s="204" t="str">
        <f t="shared" si="57"/>
        <v xml:space="preserve">  </v>
      </c>
      <c r="AB305" s="204" t="str">
        <f t="shared" si="54"/>
        <v xml:space="preserve">  </v>
      </c>
      <c r="AC305" s="204" t="str">
        <f t="shared" si="54"/>
        <v xml:space="preserve">  </v>
      </c>
    </row>
    <row r="306" spans="1:29" x14ac:dyDescent="0.3">
      <c r="A306" s="202">
        <v>41579</v>
      </c>
      <c r="B306" s="203">
        <f t="shared" si="45"/>
        <v>11</v>
      </c>
      <c r="C306" s="203">
        <f t="shared" si="46"/>
        <v>1</v>
      </c>
      <c r="D306" s="201">
        <f t="shared" si="47"/>
        <v>7.0378833333333342</v>
      </c>
      <c r="E306" s="201">
        <f t="shared" si="48"/>
        <v>9.3421633333333336</v>
      </c>
      <c r="F306" s="201">
        <f t="shared" si="49"/>
        <v>4.5809096774193545</v>
      </c>
      <c r="G306" s="201">
        <f>SUM(D$2:D306)</f>
        <v>29721.766883333348</v>
      </c>
      <c r="H306" s="201">
        <f>SUM(E$2:E306)</f>
        <v>39956.13276333332</v>
      </c>
      <c r="I306" s="201">
        <f>SUM(F$2:F306)</f>
        <v>14424.516969677437</v>
      </c>
      <c r="J306" s="201">
        <f>Model!F$51</f>
        <v>23678.322499999998</v>
      </c>
      <c r="K306" s="201">
        <f>Model!G$51</f>
        <v>26052.648000000005</v>
      </c>
      <c r="L306" s="201">
        <f>Model!H$51</f>
        <v>27478.056499999995</v>
      </c>
      <c r="M306" s="201">
        <f>Model!I$51</f>
        <v>28903.236999999997</v>
      </c>
      <c r="N306" s="201">
        <f>Model!J$51</f>
        <v>29853.18</v>
      </c>
      <c r="O306" s="201">
        <f>Model!K$51</f>
        <v>0</v>
      </c>
      <c r="P306" s="201">
        <f>Model!L$51</f>
        <v>0</v>
      </c>
      <c r="Q306" s="201">
        <f>Model!M$51</f>
        <v>0</v>
      </c>
      <c r="R306" s="201">
        <f>Model!N$51</f>
        <v>0</v>
      </c>
      <c r="S306" s="201">
        <f>Model!R$51</f>
        <v>25000</v>
      </c>
      <c r="T306" s="204" t="str">
        <f t="shared" si="56"/>
        <v xml:space="preserve">  </v>
      </c>
      <c r="U306" s="204" t="str">
        <f t="shared" si="52"/>
        <v xml:space="preserve">  </v>
      </c>
      <c r="V306" s="204" t="str">
        <f t="shared" si="53"/>
        <v/>
      </c>
      <c r="W306" s="204" t="str">
        <f t="shared" si="50"/>
        <v xml:space="preserve">  </v>
      </c>
      <c r="X306" s="204" t="str">
        <f t="shared" si="50"/>
        <v/>
      </c>
      <c r="Y306" s="204" t="str">
        <f t="shared" si="50"/>
        <v xml:space="preserve">  </v>
      </c>
      <c r="Z306" s="204" t="str">
        <f t="shared" si="50"/>
        <v xml:space="preserve">  </v>
      </c>
      <c r="AA306" s="204" t="str">
        <f t="shared" si="57"/>
        <v xml:space="preserve">  </v>
      </c>
      <c r="AB306" s="204" t="str">
        <f t="shared" si="54"/>
        <v xml:space="preserve">  </v>
      </c>
      <c r="AC306" s="204" t="str">
        <f t="shared" si="54"/>
        <v xml:space="preserve">  </v>
      </c>
    </row>
    <row r="307" spans="1:29" x14ac:dyDescent="0.3">
      <c r="A307" s="202">
        <v>41580</v>
      </c>
      <c r="B307" s="203">
        <f t="shared" si="45"/>
        <v>11</v>
      </c>
      <c r="C307" s="203">
        <f t="shared" si="46"/>
        <v>1</v>
      </c>
      <c r="D307" s="201">
        <f t="shared" si="47"/>
        <v>7.0378833333333342</v>
      </c>
      <c r="E307" s="201">
        <f t="shared" si="48"/>
        <v>9.3421633333333336</v>
      </c>
      <c r="F307" s="201">
        <f t="shared" si="49"/>
        <v>4.5809096774193545</v>
      </c>
      <c r="G307" s="201">
        <f>SUM(D$2:D307)</f>
        <v>29728.804766666683</v>
      </c>
      <c r="H307" s="201">
        <f>SUM(E$2:E307)</f>
        <v>39965.474926666655</v>
      </c>
      <c r="I307" s="201">
        <f>SUM(F$2:F307)</f>
        <v>14429.097879354857</v>
      </c>
      <c r="J307" s="201">
        <f>Model!F$51</f>
        <v>23678.322499999998</v>
      </c>
      <c r="K307" s="201">
        <f>Model!G$51</f>
        <v>26052.648000000005</v>
      </c>
      <c r="L307" s="201">
        <f>Model!H$51</f>
        <v>27478.056499999995</v>
      </c>
      <c r="M307" s="201">
        <f>Model!I$51</f>
        <v>28903.236999999997</v>
      </c>
      <c r="N307" s="201">
        <f>Model!J$51</f>
        <v>29853.18</v>
      </c>
      <c r="O307" s="201">
        <f>Model!K$51</f>
        <v>0</v>
      </c>
      <c r="P307" s="201">
        <f>Model!L$51</f>
        <v>0</v>
      </c>
      <c r="Q307" s="201">
        <f>Model!M$51</f>
        <v>0</v>
      </c>
      <c r="R307" s="201">
        <f>Model!N$51</f>
        <v>0</v>
      </c>
      <c r="S307" s="201">
        <f>Model!R$51</f>
        <v>25000</v>
      </c>
      <c r="T307" s="204" t="str">
        <f t="shared" si="56"/>
        <v xml:space="preserve">  </v>
      </c>
      <c r="U307" s="204" t="str">
        <f t="shared" si="52"/>
        <v xml:space="preserve">  </v>
      </c>
      <c r="V307" s="204" t="str">
        <f t="shared" si="53"/>
        <v/>
      </c>
      <c r="W307" s="204" t="str">
        <f t="shared" si="50"/>
        <v xml:space="preserve">  </v>
      </c>
      <c r="X307" s="204" t="str">
        <f t="shared" si="50"/>
        <v/>
      </c>
      <c r="Y307" s="204" t="str">
        <f t="shared" si="50"/>
        <v xml:space="preserve">  </v>
      </c>
      <c r="Z307" s="204" t="str">
        <f t="shared" si="50"/>
        <v xml:space="preserve">  </v>
      </c>
      <c r="AA307" s="204" t="str">
        <f t="shared" si="57"/>
        <v xml:space="preserve">  </v>
      </c>
      <c r="AB307" s="204" t="str">
        <f t="shared" si="54"/>
        <v xml:space="preserve">  </v>
      </c>
      <c r="AC307" s="204" t="str">
        <f t="shared" si="54"/>
        <v xml:space="preserve">  </v>
      </c>
    </row>
    <row r="308" spans="1:29" x14ac:dyDescent="0.3">
      <c r="A308" s="202">
        <v>41581</v>
      </c>
      <c r="B308" s="203">
        <f t="shared" si="45"/>
        <v>11</v>
      </c>
      <c r="C308" s="203">
        <f t="shared" si="46"/>
        <v>1</v>
      </c>
      <c r="D308" s="201">
        <f t="shared" si="47"/>
        <v>7.0378833333333342</v>
      </c>
      <c r="E308" s="201">
        <f t="shared" si="48"/>
        <v>9.3421633333333336</v>
      </c>
      <c r="F308" s="201">
        <f t="shared" si="49"/>
        <v>4.5809096774193545</v>
      </c>
      <c r="G308" s="201">
        <f>SUM(D$2:D308)</f>
        <v>29735.842650000017</v>
      </c>
      <c r="H308" s="201">
        <f>SUM(E$2:E308)</f>
        <v>39974.81708999999</v>
      </c>
      <c r="I308" s="201">
        <f>SUM(F$2:F308)</f>
        <v>14433.678789032276</v>
      </c>
      <c r="J308" s="201">
        <f>Model!F$51</f>
        <v>23678.322499999998</v>
      </c>
      <c r="K308" s="201">
        <f>Model!G$51</f>
        <v>26052.648000000005</v>
      </c>
      <c r="L308" s="201">
        <f>Model!H$51</f>
        <v>27478.056499999995</v>
      </c>
      <c r="M308" s="201">
        <f>Model!I$51</f>
        <v>28903.236999999997</v>
      </c>
      <c r="N308" s="201">
        <f>Model!J$51</f>
        <v>29853.18</v>
      </c>
      <c r="O308" s="201">
        <f>Model!K$51</f>
        <v>0</v>
      </c>
      <c r="P308" s="201">
        <f>Model!L$51</f>
        <v>0</v>
      </c>
      <c r="Q308" s="201">
        <f>Model!M$51</f>
        <v>0</v>
      </c>
      <c r="R308" s="201">
        <f>Model!N$51</f>
        <v>0</v>
      </c>
      <c r="S308" s="201">
        <f>Model!R$51</f>
        <v>25000</v>
      </c>
      <c r="T308" s="204" t="str">
        <f t="shared" si="56"/>
        <v xml:space="preserve">  </v>
      </c>
      <c r="U308" s="204" t="str">
        <f t="shared" si="52"/>
        <v xml:space="preserve">  </v>
      </c>
      <c r="V308" s="204" t="str">
        <f t="shared" si="53"/>
        <v/>
      </c>
      <c r="W308" s="204" t="str">
        <f t="shared" si="50"/>
        <v xml:space="preserve">  </v>
      </c>
      <c r="X308" s="204" t="str">
        <f t="shared" si="50"/>
        <v/>
      </c>
      <c r="Y308" s="204" t="str">
        <f t="shared" si="50"/>
        <v xml:space="preserve">  </v>
      </c>
      <c r="Z308" s="204" t="str">
        <f t="shared" si="50"/>
        <v xml:space="preserve">  </v>
      </c>
      <c r="AA308" s="204" t="str">
        <f t="shared" si="57"/>
        <v xml:space="preserve">  </v>
      </c>
      <c r="AB308" s="204" t="str">
        <f t="shared" si="54"/>
        <v xml:space="preserve">  </v>
      </c>
      <c r="AC308" s="204" t="str">
        <f t="shared" si="54"/>
        <v xml:space="preserve">  </v>
      </c>
    </row>
    <row r="309" spans="1:29" x14ac:dyDescent="0.3">
      <c r="A309" s="202">
        <v>41582</v>
      </c>
      <c r="B309" s="203">
        <f t="shared" si="45"/>
        <v>11</v>
      </c>
      <c r="C309" s="203">
        <f t="shared" si="46"/>
        <v>1</v>
      </c>
      <c r="D309" s="201">
        <f t="shared" si="47"/>
        <v>7.0378833333333342</v>
      </c>
      <c r="E309" s="201">
        <f t="shared" si="48"/>
        <v>9.3421633333333336</v>
      </c>
      <c r="F309" s="201">
        <f t="shared" si="49"/>
        <v>4.5809096774193545</v>
      </c>
      <c r="G309" s="201">
        <f>SUM(D$2:D309)</f>
        <v>29742.880533333351</v>
      </c>
      <c r="H309" s="201">
        <f>SUM(E$2:E309)</f>
        <v>39984.159253333324</v>
      </c>
      <c r="I309" s="201">
        <f>SUM(F$2:F309)</f>
        <v>14438.259698709695</v>
      </c>
      <c r="J309" s="201">
        <f>Model!F$51</f>
        <v>23678.322499999998</v>
      </c>
      <c r="K309" s="201">
        <f>Model!G$51</f>
        <v>26052.648000000005</v>
      </c>
      <c r="L309" s="201">
        <f>Model!H$51</f>
        <v>27478.056499999995</v>
      </c>
      <c r="M309" s="201">
        <f>Model!I$51</f>
        <v>28903.236999999997</v>
      </c>
      <c r="N309" s="201">
        <f>Model!J$51</f>
        <v>29853.18</v>
      </c>
      <c r="O309" s="201">
        <f>Model!K$51</f>
        <v>0</v>
      </c>
      <c r="P309" s="201">
        <f>Model!L$51</f>
        <v>0</v>
      </c>
      <c r="Q309" s="201">
        <f>Model!M$51</f>
        <v>0</v>
      </c>
      <c r="R309" s="201">
        <f>Model!N$51</f>
        <v>0</v>
      </c>
      <c r="S309" s="201">
        <f>Model!R$51</f>
        <v>25000</v>
      </c>
      <c r="T309" s="204" t="str">
        <f t="shared" si="56"/>
        <v xml:space="preserve">  </v>
      </c>
      <c r="U309" s="204" t="str">
        <f t="shared" si="52"/>
        <v xml:space="preserve">  </v>
      </c>
      <c r="V309" s="204" t="str">
        <f t="shared" si="53"/>
        <v/>
      </c>
      <c r="W309" s="204" t="str">
        <f t="shared" si="50"/>
        <v xml:space="preserve">  </v>
      </c>
      <c r="X309" s="204" t="str">
        <f t="shared" si="50"/>
        <v/>
      </c>
      <c r="Y309" s="204" t="str">
        <f t="shared" si="50"/>
        <v xml:space="preserve">  </v>
      </c>
      <c r="Z309" s="204" t="str">
        <f t="shared" si="50"/>
        <v xml:space="preserve">  </v>
      </c>
      <c r="AA309" s="204" t="str">
        <f t="shared" si="57"/>
        <v xml:space="preserve">  </v>
      </c>
      <c r="AB309" s="204" t="str">
        <f t="shared" si="54"/>
        <v xml:space="preserve">  </v>
      </c>
      <c r="AC309" s="204" t="str">
        <f t="shared" si="54"/>
        <v xml:space="preserve">  </v>
      </c>
    </row>
    <row r="310" spans="1:29" x14ac:dyDescent="0.3">
      <c r="A310" s="202">
        <v>41583</v>
      </c>
      <c r="B310" s="203">
        <f t="shared" si="45"/>
        <v>11</v>
      </c>
      <c r="C310" s="203">
        <f t="shared" si="46"/>
        <v>1</v>
      </c>
      <c r="D310" s="201">
        <f t="shared" si="47"/>
        <v>7.0378833333333342</v>
      </c>
      <c r="E310" s="201">
        <f t="shared" si="48"/>
        <v>9.3421633333333336</v>
      </c>
      <c r="F310" s="201">
        <f t="shared" si="49"/>
        <v>4.5809096774193545</v>
      </c>
      <c r="G310" s="201">
        <f>SUM(D$2:D310)</f>
        <v>29749.918416666686</v>
      </c>
      <c r="H310" s="201">
        <f>SUM(E$2:E310)</f>
        <v>39993.501416666659</v>
      </c>
      <c r="I310" s="201">
        <f>SUM(F$2:F310)</f>
        <v>14442.840608387114</v>
      </c>
      <c r="J310" s="201">
        <f>Model!F$51</f>
        <v>23678.322499999998</v>
      </c>
      <c r="K310" s="201">
        <f>Model!G$51</f>
        <v>26052.648000000005</v>
      </c>
      <c r="L310" s="201">
        <f>Model!H$51</f>
        <v>27478.056499999995</v>
      </c>
      <c r="M310" s="201">
        <f>Model!I$51</f>
        <v>28903.236999999997</v>
      </c>
      <c r="N310" s="201">
        <f>Model!J$51</f>
        <v>29853.18</v>
      </c>
      <c r="O310" s="201">
        <f>Model!K$51</f>
        <v>0</v>
      </c>
      <c r="P310" s="201">
        <f>Model!L$51</f>
        <v>0</v>
      </c>
      <c r="Q310" s="201">
        <f>Model!M$51</f>
        <v>0</v>
      </c>
      <c r="R310" s="201">
        <f>Model!N$51</f>
        <v>0</v>
      </c>
      <c r="S310" s="201">
        <f>Model!R$51</f>
        <v>25000</v>
      </c>
      <c r="T310" s="204" t="str">
        <f t="shared" si="56"/>
        <v xml:space="preserve">  </v>
      </c>
      <c r="U310" s="204" t="str">
        <f t="shared" si="52"/>
        <v xml:space="preserve">  </v>
      </c>
      <c r="V310" s="204" t="str">
        <f t="shared" si="53"/>
        <v/>
      </c>
      <c r="W310" s="204" t="str">
        <f t="shared" si="50"/>
        <v xml:space="preserve">  </v>
      </c>
      <c r="X310" s="204" t="str">
        <f t="shared" si="50"/>
        <v/>
      </c>
      <c r="Y310" s="204" t="str">
        <f t="shared" si="50"/>
        <v xml:space="preserve">  </v>
      </c>
      <c r="Z310" s="204" t="str">
        <f t="shared" si="50"/>
        <v xml:space="preserve">  </v>
      </c>
      <c r="AA310" s="204" t="str">
        <f t="shared" si="57"/>
        <v xml:space="preserve">  </v>
      </c>
      <c r="AB310" s="204" t="str">
        <f t="shared" si="54"/>
        <v xml:space="preserve">  </v>
      </c>
      <c r="AC310" s="204" t="str">
        <f t="shared" si="54"/>
        <v xml:space="preserve">  </v>
      </c>
    </row>
    <row r="311" spans="1:29" x14ac:dyDescent="0.3">
      <c r="A311" s="202">
        <v>41584</v>
      </c>
      <c r="B311" s="203">
        <f t="shared" si="45"/>
        <v>11</v>
      </c>
      <c r="C311" s="203">
        <f t="shared" si="46"/>
        <v>1</v>
      </c>
      <c r="D311" s="201">
        <f t="shared" si="47"/>
        <v>7.0378833333333342</v>
      </c>
      <c r="E311" s="201">
        <f t="shared" si="48"/>
        <v>9.3421633333333336</v>
      </c>
      <c r="F311" s="201">
        <f t="shared" si="49"/>
        <v>4.5809096774193545</v>
      </c>
      <c r="G311" s="201">
        <f>SUM(D$2:D311)</f>
        <v>29756.95630000002</v>
      </c>
      <c r="H311" s="201">
        <f>SUM(E$2:E311)</f>
        <v>40002.843579999993</v>
      </c>
      <c r="I311" s="201">
        <f>SUM(F$2:F311)</f>
        <v>14447.421518064533</v>
      </c>
      <c r="J311" s="201">
        <f>Model!F$51</f>
        <v>23678.322499999998</v>
      </c>
      <c r="K311" s="201">
        <f>Model!G$51</f>
        <v>26052.648000000005</v>
      </c>
      <c r="L311" s="201">
        <f>Model!H$51</f>
        <v>27478.056499999995</v>
      </c>
      <c r="M311" s="201">
        <f>Model!I$51</f>
        <v>28903.236999999997</v>
      </c>
      <c r="N311" s="201">
        <f>Model!J$51</f>
        <v>29853.18</v>
      </c>
      <c r="O311" s="201">
        <f>Model!K$51</f>
        <v>0</v>
      </c>
      <c r="P311" s="201">
        <f>Model!L$51</f>
        <v>0</v>
      </c>
      <c r="Q311" s="201">
        <f>Model!M$51</f>
        <v>0</v>
      </c>
      <c r="R311" s="201">
        <f>Model!N$51</f>
        <v>0</v>
      </c>
      <c r="S311" s="201">
        <f>Model!R$51</f>
        <v>25000</v>
      </c>
      <c r="T311" s="204" t="str">
        <f t="shared" si="56"/>
        <v xml:space="preserve">  </v>
      </c>
      <c r="U311" s="204" t="str">
        <f t="shared" si="52"/>
        <v xml:space="preserve">  </v>
      </c>
      <c r="V311" s="204" t="str">
        <f t="shared" si="53"/>
        <v/>
      </c>
      <c r="W311" s="204" t="str">
        <f t="shared" si="50"/>
        <v xml:space="preserve">  </v>
      </c>
      <c r="X311" s="204" t="str">
        <f t="shared" si="50"/>
        <v/>
      </c>
      <c r="Y311" s="204" t="str">
        <f t="shared" si="50"/>
        <v xml:space="preserve">  </v>
      </c>
      <c r="Z311" s="204" t="str">
        <f t="shared" si="50"/>
        <v xml:space="preserve">  </v>
      </c>
      <c r="AA311" s="204" t="str">
        <f t="shared" si="57"/>
        <v xml:space="preserve">  </v>
      </c>
      <c r="AB311" s="204" t="str">
        <f t="shared" si="54"/>
        <v xml:space="preserve">  </v>
      </c>
      <c r="AC311" s="204" t="str">
        <f t="shared" si="54"/>
        <v xml:space="preserve">  </v>
      </c>
    </row>
    <row r="312" spans="1:29" x14ac:dyDescent="0.3">
      <c r="A312" s="202">
        <v>41585</v>
      </c>
      <c r="B312" s="203">
        <f t="shared" si="45"/>
        <v>11</v>
      </c>
      <c r="C312" s="203">
        <f t="shared" si="46"/>
        <v>1</v>
      </c>
      <c r="D312" s="201">
        <f t="shared" si="47"/>
        <v>7.0378833333333342</v>
      </c>
      <c r="E312" s="201">
        <f t="shared" si="48"/>
        <v>9.3421633333333336</v>
      </c>
      <c r="F312" s="201">
        <f t="shared" si="49"/>
        <v>4.5809096774193545</v>
      </c>
      <c r="G312" s="201">
        <f>SUM(D$2:D312)</f>
        <v>29763.994183333354</v>
      </c>
      <c r="H312" s="201">
        <f>SUM(E$2:E312)</f>
        <v>40012.185743333328</v>
      </c>
      <c r="I312" s="201">
        <f>SUM(F$2:F312)</f>
        <v>14452.002427741952</v>
      </c>
      <c r="J312" s="201">
        <f>Model!F$51</f>
        <v>23678.322499999998</v>
      </c>
      <c r="K312" s="201">
        <f>Model!G$51</f>
        <v>26052.648000000005</v>
      </c>
      <c r="L312" s="201">
        <f>Model!H$51</f>
        <v>27478.056499999995</v>
      </c>
      <c r="M312" s="201">
        <f>Model!I$51</f>
        <v>28903.236999999997</v>
      </c>
      <c r="N312" s="201">
        <f>Model!J$51</f>
        <v>29853.18</v>
      </c>
      <c r="O312" s="201">
        <f>Model!K$51</f>
        <v>0</v>
      </c>
      <c r="P312" s="201">
        <f>Model!L$51</f>
        <v>0</v>
      </c>
      <c r="Q312" s="201">
        <f>Model!M$51</f>
        <v>0</v>
      </c>
      <c r="R312" s="201">
        <f>Model!N$51</f>
        <v>0</v>
      </c>
      <c r="S312" s="201">
        <f>Model!R$51</f>
        <v>25000</v>
      </c>
      <c r="T312" s="204" t="str">
        <f t="shared" si="56"/>
        <v xml:space="preserve">  </v>
      </c>
      <c r="U312" s="204" t="str">
        <f t="shared" si="52"/>
        <v xml:space="preserve">  </v>
      </c>
      <c r="V312" s="204" t="str">
        <f t="shared" si="53"/>
        <v/>
      </c>
      <c r="W312" s="204" t="str">
        <f t="shared" si="50"/>
        <v xml:space="preserve">  </v>
      </c>
      <c r="X312" s="204" t="str">
        <f t="shared" si="50"/>
        <v/>
      </c>
      <c r="Y312" s="204" t="str">
        <f t="shared" si="50"/>
        <v xml:space="preserve">  </v>
      </c>
      <c r="Z312" s="204" t="str">
        <f t="shared" si="50"/>
        <v xml:space="preserve">  </v>
      </c>
      <c r="AA312" s="204" t="str">
        <f t="shared" si="57"/>
        <v xml:space="preserve">  </v>
      </c>
      <c r="AB312" s="204" t="str">
        <f t="shared" si="54"/>
        <v xml:space="preserve">  </v>
      </c>
      <c r="AC312" s="204" t="str">
        <f t="shared" si="54"/>
        <v xml:space="preserve">  </v>
      </c>
    </row>
    <row r="313" spans="1:29" x14ac:dyDescent="0.3">
      <c r="A313" s="202">
        <v>41586</v>
      </c>
      <c r="B313" s="203">
        <f t="shared" si="45"/>
        <v>11</v>
      </c>
      <c r="C313" s="203">
        <f t="shared" si="46"/>
        <v>1</v>
      </c>
      <c r="D313" s="201">
        <f t="shared" si="47"/>
        <v>7.0378833333333342</v>
      </c>
      <c r="E313" s="201">
        <f t="shared" si="48"/>
        <v>9.3421633333333336</v>
      </c>
      <c r="F313" s="201">
        <f t="shared" si="49"/>
        <v>4.5809096774193545</v>
      </c>
      <c r="G313" s="201">
        <f>SUM(D$2:D313)</f>
        <v>29771.032066666688</v>
      </c>
      <c r="H313" s="201">
        <f>SUM(E$2:E313)</f>
        <v>40021.527906666663</v>
      </c>
      <c r="I313" s="201">
        <f>SUM(F$2:F313)</f>
        <v>14456.583337419372</v>
      </c>
      <c r="J313" s="201">
        <f>Model!F$51</f>
        <v>23678.322499999998</v>
      </c>
      <c r="K313" s="201">
        <f>Model!G$51</f>
        <v>26052.648000000005</v>
      </c>
      <c r="L313" s="201">
        <f>Model!H$51</f>
        <v>27478.056499999995</v>
      </c>
      <c r="M313" s="201">
        <f>Model!I$51</f>
        <v>28903.236999999997</v>
      </c>
      <c r="N313" s="201">
        <f>Model!J$51</f>
        <v>29853.18</v>
      </c>
      <c r="O313" s="201">
        <f>Model!K$51</f>
        <v>0</v>
      </c>
      <c r="P313" s="201">
        <f>Model!L$51</f>
        <v>0</v>
      </c>
      <c r="Q313" s="201">
        <f>Model!M$51</f>
        <v>0</v>
      </c>
      <c r="R313" s="201">
        <f>Model!N$51</f>
        <v>0</v>
      </c>
      <c r="S313" s="201">
        <f>Model!R$51</f>
        <v>25000</v>
      </c>
      <c r="T313" s="204" t="str">
        <f t="shared" si="56"/>
        <v xml:space="preserve">  </v>
      </c>
      <c r="U313" s="204" t="str">
        <f t="shared" si="52"/>
        <v xml:space="preserve">  </v>
      </c>
      <c r="V313" s="204" t="str">
        <f t="shared" si="53"/>
        <v/>
      </c>
      <c r="W313" s="204" t="str">
        <f t="shared" si="50"/>
        <v xml:space="preserve">  </v>
      </c>
      <c r="X313" s="204" t="str">
        <f t="shared" si="50"/>
        <v/>
      </c>
      <c r="Y313" s="204" t="str">
        <f t="shared" si="50"/>
        <v xml:space="preserve">  </v>
      </c>
      <c r="Z313" s="204" t="str">
        <f t="shared" si="50"/>
        <v xml:space="preserve">  </v>
      </c>
      <c r="AA313" s="204" t="str">
        <f t="shared" si="57"/>
        <v xml:space="preserve">  </v>
      </c>
      <c r="AB313" s="204" t="str">
        <f t="shared" si="54"/>
        <v xml:space="preserve">  </v>
      </c>
      <c r="AC313" s="204" t="str">
        <f t="shared" si="54"/>
        <v xml:space="preserve">  </v>
      </c>
    </row>
    <row r="314" spans="1:29" x14ac:dyDescent="0.3">
      <c r="A314" s="202">
        <v>41587</v>
      </c>
      <c r="B314" s="203">
        <f t="shared" si="45"/>
        <v>11</v>
      </c>
      <c r="C314" s="203">
        <f t="shared" si="46"/>
        <v>1</v>
      </c>
      <c r="D314" s="201">
        <f t="shared" si="47"/>
        <v>7.0378833333333342</v>
      </c>
      <c r="E314" s="201">
        <f t="shared" si="48"/>
        <v>9.3421633333333336</v>
      </c>
      <c r="F314" s="201">
        <f t="shared" si="49"/>
        <v>4.5809096774193545</v>
      </c>
      <c r="G314" s="201">
        <f>SUM(D$2:D314)</f>
        <v>29778.069950000023</v>
      </c>
      <c r="H314" s="201">
        <f>SUM(E$2:E314)</f>
        <v>40030.870069999997</v>
      </c>
      <c r="I314" s="201">
        <f>SUM(F$2:F314)</f>
        <v>14461.164247096791</v>
      </c>
      <c r="J314" s="201">
        <f>Model!F$51</f>
        <v>23678.322499999998</v>
      </c>
      <c r="K314" s="201">
        <f>Model!G$51</f>
        <v>26052.648000000005</v>
      </c>
      <c r="L314" s="201">
        <f>Model!H$51</f>
        <v>27478.056499999995</v>
      </c>
      <c r="M314" s="201">
        <f>Model!I$51</f>
        <v>28903.236999999997</v>
      </c>
      <c r="N314" s="201">
        <f>Model!J$51</f>
        <v>29853.18</v>
      </c>
      <c r="O314" s="201">
        <f>Model!K$51</f>
        <v>0</v>
      </c>
      <c r="P314" s="201">
        <f>Model!L$51</f>
        <v>0</v>
      </c>
      <c r="Q314" s="201">
        <f>Model!M$51</f>
        <v>0</v>
      </c>
      <c r="R314" s="201">
        <f>Model!N$51</f>
        <v>0</v>
      </c>
      <c r="S314" s="201">
        <f>Model!R$51</f>
        <v>25000</v>
      </c>
      <c r="T314" s="204" t="str">
        <f t="shared" si="56"/>
        <v xml:space="preserve">  </v>
      </c>
      <c r="U314" s="204" t="str">
        <f t="shared" si="52"/>
        <v xml:space="preserve">  </v>
      </c>
      <c r="V314" s="204" t="str">
        <f t="shared" si="53"/>
        <v/>
      </c>
      <c r="W314" s="204" t="str">
        <f t="shared" si="50"/>
        <v xml:space="preserve">  </v>
      </c>
      <c r="X314" s="204" t="str">
        <f t="shared" si="50"/>
        <v/>
      </c>
      <c r="Y314" s="204" t="str">
        <f t="shared" si="50"/>
        <v xml:space="preserve">  </v>
      </c>
      <c r="Z314" s="204" t="str">
        <f t="shared" si="50"/>
        <v xml:space="preserve">  </v>
      </c>
      <c r="AA314" s="204" t="str">
        <f t="shared" si="57"/>
        <v xml:space="preserve">  </v>
      </c>
      <c r="AB314" s="204" t="str">
        <f t="shared" si="54"/>
        <v xml:space="preserve">  </v>
      </c>
      <c r="AC314" s="204" t="str">
        <f t="shared" si="54"/>
        <v xml:space="preserve">  </v>
      </c>
    </row>
    <row r="315" spans="1:29" x14ac:dyDescent="0.3">
      <c r="A315" s="202">
        <v>41588</v>
      </c>
      <c r="B315" s="203">
        <f t="shared" si="45"/>
        <v>11</v>
      </c>
      <c r="C315" s="203">
        <f t="shared" si="46"/>
        <v>1</v>
      </c>
      <c r="D315" s="201">
        <f t="shared" si="47"/>
        <v>7.0378833333333342</v>
      </c>
      <c r="E315" s="201">
        <f t="shared" si="48"/>
        <v>9.3421633333333336</v>
      </c>
      <c r="F315" s="201">
        <f t="shared" si="49"/>
        <v>4.5809096774193545</v>
      </c>
      <c r="G315" s="201">
        <f>SUM(D$2:D315)</f>
        <v>29785.107833333357</v>
      </c>
      <c r="H315" s="201">
        <f>SUM(E$2:E315)</f>
        <v>40040.212233333332</v>
      </c>
      <c r="I315" s="201">
        <f>SUM(F$2:F315)</f>
        <v>14465.74515677421</v>
      </c>
      <c r="J315" s="201">
        <f>Model!F$51</f>
        <v>23678.322499999998</v>
      </c>
      <c r="K315" s="201">
        <f>Model!G$51</f>
        <v>26052.648000000005</v>
      </c>
      <c r="L315" s="201">
        <f>Model!H$51</f>
        <v>27478.056499999995</v>
      </c>
      <c r="M315" s="201">
        <f>Model!I$51</f>
        <v>28903.236999999997</v>
      </c>
      <c r="N315" s="201">
        <f>Model!J$51</f>
        <v>29853.18</v>
      </c>
      <c r="O315" s="201">
        <f>Model!K$51</f>
        <v>0</v>
      </c>
      <c r="P315" s="201">
        <f>Model!L$51</f>
        <v>0</v>
      </c>
      <c r="Q315" s="201">
        <f>Model!M$51</f>
        <v>0</v>
      </c>
      <c r="R315" s="201">
        <f>Model!N$51</f>
        <v>0</v>
      </c>
      <c r="S315" s="201">
        <f>Model!R$51</f>
        <v>25000</v>
      </c>
      <c r="T315" s="204" t="str">
        <f t="shared" si="56"/>
        <v xml:space="preserve">  </v>
      </c>
      <c r="U315" s="204" t="str">
        <f t="shared" si="52"/>
        <v xml:space="preserve">  </v>
      </c>
      <c r="V315" s="204" t="str">
        <f t="shared" si="53"/>
        <v/>
      </c>
      <c r="W315" s="204" t="str">
        <f t="shared" si="50"/>
        <v xml:space="preserve">  </v>
      </c>
      <c r="X315" s="204" t="str">
        <f t="shared" si="50"/>
        <v/>
      </c>
      <c r="Y315" s="204" t="str">
        <f t="shared" si="50"/>
        <v xml:space="preserve">  </v>
      </c>
      <c r="Z315" s="204" t="str">
        <f t="shared" si="50"/>
        <v xml:space="preserve">  </v>
      </c>
      <c r="AA315" s="204" t="str">
        <f t="shared" si="57"/>
        <v xml:space="preserve">  </v>
      </c>
      <c r="AB315" s="204" t="str">
        <f t="shared" si="54"/>
        <v xml:space="preserve">  </v>
      </c>
      <c r="AC315" s="204" t="str">
        <f t="shared" si="54"/>
        <v xml:space="preserve">  </v>
      </c>
    </row>
    <row r="316" spans="1:29" x14ac:dyDescent="0.3">
      <c r="A316" s="202">
        <v>41589</v>
      </c>
      <c r="B316" s="203">
        <f t="shared" si="45"/>
        <v>11</v>
      </c>
      <c r="C316" s="203">
        <f t="shared" si="46"/>
        <v>1</v>
      </c>
      <c r="D316" s="201">
        <f t="shared" si="47"/>
        <v>7.0378833333333342</v>
      </c>
      <c r="E316" s="201">
        <f t="shared" si="48"/>
        <v>9.3421633333333336</v>
      </c>
      <c r="F316" s="201">
        <f t="shared" si="49"/>
        <v>4.5809096774193545</v>
      </c>
      <c r="G316" s="201">
        <f>SUM(D$2:D316)</f>
        <v>29792.145716666691</v>
      </c>
      <c r="H316" s="201">
        <f>SUM(E$2:E316)</f>
        <v>40049.554396666666</v>
      </c>
      <c r="I316" s="201">
        <f>SUM(F$2:F316)</f>
        <v>14470.326066451629</v>
      </c>
      <c r="J316" s="201">
        <f>Model!F$51</f>
        <v>23678.322499999998</v>
      </c>
      <c r="K316" s="201">
        <f>Model!G$51</f>
        <v>26052.648000000005</v>
      </c>
      <c r="L316" s="201">
        <f>Model!H$51</f>
        <v>27478.056499999995</v>
      </c>
      <c r="M316" s="201">
        <f>Model!I$51</f>
        <v>28903.236999999997</v>
      </c>
      <c r="N316" s="201">
        <f>Model!J$51</f>
        <v>29853.18</v>
      </c>
      <c r="O316" s="201">
        <f>Model!K$51</f>
        <v>0</v>
      </c>
      <c r="P316" s="201">
        <f>Model!L$51</f>
        <v>0</v>
      </c>
      <c r="Q316" s="201">
        <f>Model!M$51</f>
        <v>0</v>
      </c>
      <c r="R316" s="201">
        <f>Model!N$51</f>
        <v>0</v>
      </c>
      <c r="S316" s="201">
        <f>Model!R$51</f>
        <v>25000</v>
      </c>
      <c r="T316" s="204" t="str">
        <f t="shared" si="56"/>
        <v xml:space="preserve">  </v>
      </c>
      <c r="U316" s="204" t="str">
        <f t="shared" si="52"/>
        <v xml:space="preserve">  </v>
      </c>
      <c r="V316" s="204" t="str">
        <f t="shared" si="53"/>
        <v/>
      </c>
      <c r="W316" s="204" t="str">
        <f t="shared" si="50"/>
        <v xml:space="preserve">  </v>
      </c>
      <c r="X316" s="204" t="str">
        <f t="shared" si="50"/>
        <v/>
      </c>
      <c r="Y316" s="204" t="str">
        <f t="shared" si="50"/>
        <v xml:space="preserve">  </v>
      </c>
      <c r="Z316" s="204" t="str">
        <f t="shared" si="50"/>
        <v xml:space="preserve">  </v>
      </c>
      <c r="AA316" s="204" t="str">
        <f t="shared" si="57"/>
        <v xml:space="preserve">  </v>
      </c>
      <c r="AB316" s="204" t="str">
        <f t="shared" si="54"/>
        <v xml:space="preserve">  </v>
      </c>
      <c r="AC316" s="204" t="str">
        <f t="shared" si="54"/>
        <v xml:space="preserve">  </v>
      </c>
    </row>
    <row r="317" spans="1:29" x14ac:dyDescent="0.3">
      <c r="A317" s="202">
        <v>41590</v>
      </c>
      <c r="B317" s="203">
        <f t="shared" si="45"/>
        <v>11</v>
      </c>
      <c r="C317" s="203">
        <f t="shared" si="46"/>
        <v>1</v>
      </c>
      <c r="D317" s="201">
        <f t="shared" si="47"/>
        <v>7.0378833333333342</v>
      </c>
      <c r="E317" s="201">
        <f t="shared" si="48"/>
        <v>9.3421633333333336</v>
      </c>
      <c r="F317" s="201">
        <f t="shared" si="49"/>
        <v>4.5809096774193545</v>
      </c>
      <c r="G317" s="201">
        <f>SUM(D$2:D317)</f>
        <v>29799.183600000026</v>
      </c>
      <c r="H317" s="201">
        <f>SUM(E$2:E317)</f>
        <v>40058.896560000001</v>
      </c>
      <c r="I317" s="201">
        <f>SUM(F$2:F317)</f>
        <v>14474.906976129048</v>
      </c>
      <c r="J317" s="201">
        <f>Model!F$51</f>
        <v>23678.322499999998</v>
      </c>
      <c r="K317" s="201">
        <f>Model!G$51</f>
        <v>26052.648000000005</v>
      </c>
      <c r="L317" s="201">
        <f>Model!H$51</f>
        <v>27478.056499999995</v>
      </c>
      <c r="M317" s="201">
        <f>Model!I$51</f>
        <v>28903.236999999997</v>
      </c>
      <c r="N317" s="201">
        <f>Model!J$51</f>
        <v>29853.18</v>
      </c>
      <c r="O317" s="201">
        <f>Model!K$51</f>
        <v>0</v>
      </c>
      <c r="P317" s="201">
        <f>Model!L$51</f>
        <v>0</v>
      </c>
      <c r="Q317" s="201">
        <f>Model!M$51</f>
        <v>0</v>
      </c>
      <c r="R317" s="201">
        <f>Model!N$51</f>
        <v>0</v>
      </c>
      <c r="S317" s="201">
        <f>Model!R$51</f>
        <v>25000</v>
      </c>
      <c r="T317" s="204" t="str">
        <f t="shared" si="56"/>
        <v xml:space="preserve">  </v>
      </c>
      <c r="U317" s="204" t="str">
        <f t="shared" si="52"/>
        <v xml:space="preserve">  </v>
      </c>
      <c r="V317" s="204" t="str">
        <f t="shared" si="53"/>
        <v/>
      </c>
      <c r="W317" s="204" t="str">
        <f t="shared" si="50"/>
        <v xml:space="preserve">  </v>
      </c>
      <c r="X317" s="204" t="str">
        <f t="shared" si="50"/>
        <v/>
      </c>
      <c r="Y317" s="204" t="str">
        <f t="shared" si="50"/>
        <v xml:space="preserve">  </v>
      </c>
      <c r="Z317" s="204" t="str">
        <f t="shared" si="50"/>
        <v xml:space="preserve">  </v>
      </c>
      <c r="AA317" s="204" t="str">
        <f t="shared" si="57"/>
        <v xml:space="preserve">  </v>
      </c>
      <c r="AB317" s="204" t="str">
        <f t="shared" si="54"/>
        <v xml:space="preserve">  </v>
      </c>
      <c r="AC317" s="204" t="str">
        <f t="shared" si="54"/>
        <v xml:space="preserve">  </v>
      </c>
    </row>
    <row r="318" spans="1:29" x14ac:dyDescent="0.3">
      <c r="A318" s="202">
        <v>41591</v>
      </c>
      <c r="B318" s="203">
        <f t="shared" si="45"/>
        <v>11</v>
      </c>
      <c r="C318" s="203">
        <f t="shared" si="46"/>
        <v>1</v>
      </c>
      <c r="D318" s="201">
        <f t="shared" si="47"/>
        <v>7.0378833333333342</v>
      </c>
      <c r="E318" s="201">
        <f t="shared" si="48"/>
        <v>9.3421633333333336</v>
      </c>
      <c r="F318" s="201">
        <f t="shared" si="49"/>
        <v>4.5809096774193545</v>
      </c>
      <c r="G318" s="201">
        <f>SUM(D$2:D318)</f>
        <v>29806.22148333336</v>
      </c>
      <c r="H318" s="201">
        <f>SUM(E$2:E318)</f>
        <v>40068.238723333336</v>
      </c>
      <c r="I318" s="201">
        <f>SUM(F$2:F318)</f>
        <v>14479.487885806468</v>
      </c>
      <c r="J318" s="201">
        <f>Model!F$51</f>
        <v>23678.322499999998</v>
      </c>
      <c r="K318" s="201">
        <f>Model!G$51</f>
        <v>26052.648000000005</v>
      </c>
      <c r="L318" s="201">
        <f>Model!H$51</f>
        <v>27478.056499999995</v>
      </c>
      <c r="M318" s="201">
        <f>Model!I$51</f>
        <v>28903.236999999997</v>
      </c>
      <c r="N318" s="201">
        <f>Model!J$51</f>
        <v>29853.18</v>
      </c>
      <c r="O318" s="201">
        <f>Model!K$51</f>
        <v>0</v>
      </c>
      <c r="P318" s="201">
        <f>Model!L$51</f>
        <v>0</v>
      </c>
      <c r="Q318" s="201">
        <f>Model!M$51</f>
        <v>0</v>
      </c>
      <c r="R318" s="201">
        <f>Model!N$51</f>
        <v>0</v>
      </c>
      <c r="S318" s="201">
        <f>Model!R$51</f>
        <v>25000</v>
      </c>
      <c r="T318" s="204" t="str">
        <f t="shared" si="56"/>
        <v xml:space="preserve">  </v>
      </c>
      <c r="U318" s="204" t="str">
        <f t="shared" si="52"/>
        <v xml:space="preserve">  </v>
      </c>
      <c r="V318" s="204" t="str">
        <f t="shared" si="53"/>
        <v/>
      </c>
      <c r="W318" s="204" t="str">
        <f t="shared" si="50"/>
        <v xml:space="preserve">  </v>
      </c>
      <c r="X318" s="204" t="str">
        <f t="shared" si="50"/>
        <v/>
      </c>
      <c r="Y318" s="204" t="str">
        <f t="shared" si="50"/>
        <v xml:space="preserve">  </v>
      </c>
      <c r="Z318" s="204" t="str">
        <f t="shared" si="50"/>
        <v xml:space="preserve">  </v>
      </c>
      <c r="AA318" s="204" t="str">
        <f t="shared" si="57"/>
        <v xml:space="preserve">  </v>
      </c>
      <c r="AB318" s="204" t="str">
        <f t="shared" si="54"/>
        <v xml:space="preserve">  </v>
      </c>
      <c r="AC318" s="204" t="str">
        <f t="shared" si="54"/>
        <v xml:space="preserve">  </v>
      </c>
    </row>
    <row r="319" spans="1:29" x14ac:dyDescent="0.3">
      <c r="A319" s="202">
        <v>41592</v>
      </c>
      <c r="B319" s="203">
        <f t="shared" si="45"/>
        <v>11</v>
      </c>
      <c r="C319" s="203">
        <f t="shared" si="46"/>
        <v>1</v>
      </c>
      <c r="D319" s="201">
        <f t="shared" si="47"/>
        <v>7.0378833333333342</v>
      </c>
      <c r="E319" s="201">
        <f t="shared" si="48"/>
        <v>9.3421633333333336</v>
      </c>
      <c r="F319" s="201">
        <f t="shared" si="49"/>
        <v>4.5809096774193545</v>
      </c>
      <c r="G319" s="201">
        <f>SUM(D$2:D319)</f>
        <v>29813.259366666694</v>
      </c>
      <c r="H319" s="201">
        <f>SUM(E$2:E319)</f>
        <v>40077.58088666667</v>
      </c>
      <c r="I319" s="201">
        <f>SUM(F$2:F319)</f>
        <v>14484.068795483887</v>
      </c>
      <c r="J319" s="201">
        <f>Model!F$51</f>
        <v>23678.322499999998</v>
      </c>
      <c r="K319" s="201">
        <f>Model!G$51</f>
        <v>26052.648000000005</v>
      </c>
      <c r="L319" s="201">
        <f>Model!H$51</f>
        <v>27478.056499999995</v>
      </c>
      <c r="M319" s="201">
        <f>Model!I$51</f>
        <v>28903.236999999997</v>
      </c>
      <c r="N319" s="201">
        <f>Model!J$51</f>
        <v>29853.18</v>
      </c>
      <c r="O319" s="201">
        <f>Model!K$51</f>
        <v>0</v>
      </c>
      <c r="P319" s="201">
        <f>Model!L$51</f>
        <v>0</v>
      </c>
      <c r="Q319" s="201">
        <f>Model!M$51</f>
        <v>0</v>
      </c>
      <c r="R319" s="201">
        <f>Model!N$51</f>
        <v>0</v>
      </c>
      <c r="S319" s="201">
        <f>Model!R$51</f>
        <v>25000</v>
      </c>
      <c r="T319" s="204" t="str">
        <f t="shared" si="56"/>
        <v xml:space="preserve">  </v>
      </c>
      <c r="U319" s="204" t="str">
        <f t="shared" si="52"/>
        <v xml:space="preserve">  </v>
      </c>
      <c r="V319" s="204" t="str">
        <f t="shared" si="53"/>
        <v/>
      </c>
      <c r="W319" s="204" t="str">
        <f t="shared" si="50"/>
        <v xml:space="preserve">  </v>
      </c>
      <c r="X319" s="204" t="str">
        <f t="shared" si="50"/>
        <v/>
      </c>
      <c r="Y319" s="204" t="str">
        <f t="shared" si="50"/>
        <v xml:space="preserve">  </v>
      </c>
      <c r="Z319" s="204" t="str">
        <f t="shared" si="50"/>
        <v xml:space="preserve">  </v>
      </c>
      <c r="AA319" s="204" t="str">
        <f t="shared" si="57"/>
        <v xml:space="preserve">  </v>
      </c>
      <c r="AB319" s="204" t="str">
        <f t="shared" si="54"/>
        <v xml:space="preserve">  </v>
      </c>
      <c r="AC319" s="204" t="str">
        <f t="shared" si="54"/>
        <v xml:space="preserve">  </v>
      </c>
    </row>
    <row r="320" spans="1:29" x14ac:dyDescent="0.3">
      <c r="A320" s="202">
        <v>41593</v>
      </c>
      <c r="B320" s="203">
        <f t="shared" si="45"/>
        <v>11</v>
      </c>
      <c r="C320" s="203">
        <f t="shared" si="46"/>
        <v>1</v>
      </c>
      <c r="D320" s="201">
        <f t="shared" si="47"/>
        <v>7.0378833333333342</v>
      </c>
      <c r="E320" s="201">
        <f t="shared" si="48"/>
        <v>9.3421633333333336</v>
      </c>
      <c r="F320" s="201">
        <f t="shared" si="49"/>
        <v>4.5809096774193545</v>
      </c>
      <c r="G320" s="201">
        <f>SUM(D$2:D320)</f>
        <v>29820.297250000029</v>
      </c>
      <c r="H320" s="201">
        <f>SUM(E$2:E320)</f>
        <v>40086.923050000005</v>
      </c>
      <c r="I320" s="201">
        <f>SUM(F$2:F320)</f>
        <v>14488.649705161306</v>
      </c>
      <c r="J320" s="201">
        <f>Model!F$51</f>
        <v>23678.322499999998</v>
      </c>
      <c r="K320" s="201">
        <f>Model!G$51</f>
        <v>26052.648000000005</v>
      </c>
      <c r="L320" s="201">
        <f>Model!H$51</f>
        <v>27478.056499999995</v>
      </c>
      <c r="M320" s="201">
        <f>Model!I$51</f>
        <v>28903.236999999997</v>
      </c>
      <c r="N320" s="201">
        <f>Model!J$51</f>
        <v>29853.18</v>
      </c>
      <c r="O320" s="201">
        <f>Model!K$51</f>
        <v>0</v>
      </c>
      <c r="P320" s="201">
        <f>Model!L$51</f>
        <v>0</v>
      </c>
      <c r="Q320" s="201">
        <f>Model!M$51</f>
        <v>0</v>
      </c>
      <c r="R320" s="201">
        <f>Model!N$51</f>
        <v>0</v>
      </c>
      <c r="S320" s="201">
        <f>Model!R$51</f>
        <v>25000</v>
      </c>
      <c r="T320" s="204" t="str">
        <f t="shared" si="56"/>
        <v xml:space="preserve">  </v>
      </c>
      <c r="U320" s="204" t="str">
        <f t="shared" si="52"/>
        <v xml:space="preserve">  </v>
      </c>
      <c r="V320" s="204" t="str">
        <f t="shared" si="53"/>
        <v/>
      </c>
      <c r="W320" s="204" t="str">
        <f t="shared" si="50"/>
        <v xml:space="preserve">  </v>
      </c>
      <c r="X320" s="204" t="str">
        <f t="shared" si="50"/>
        <v/>
      </c>
      <c r="Y320" s="204" t="str">
        <f t="shared" si="50"/>
        <v xml:space="preserve">  </v>
      </c>
      <c r="Z320" s="204" t="str">
        <f t="shared" si="50"/>
        <v xml:space="preserve">  </v>
      </c>
      <c r="AA320" s="204" t="str">
        <f t="shared" si="57"/>
        <v xml:space="preserve">  </v>
      </c>
      <c r="AB320" s="204" t="str">
        <f t="shared" si="54"/>
        <v xml:space="preserve">  </v>
      </c>
      <c r="AC320" s="204" t="str">
        <f t="shared" si="54"/>
        <v xml:space="preserve">  </v>
      </c>
    </row>
    <row r="321" spans="1:29" x14ac:dyDescent="0.3">
      <c r="A321" s="202">
        <v>41594</v>
      </c>
      <c r="B321" s="203">
        <f t="shared" si="45"/>
        <v>11</v>
      </c>
      <c r="C321" s="203">
        <f t="shared" si="46"/>
        <v>1</v>
      </c>
      <c r="D321" s="201">
        <f t="shared" si="47"/>
        <v>7.0378833333333342</v>
      </c>
      <c r="E321" s="201">
        <f t="shared" si="48"/>
        <v>9.3421633333333336</v>
      </c>
      <c r="F321" s="201">
        <f t="shared" si="49"/>
        <v>4.5809096774193545</v>
      </c>
      <c r="G321" s="201">
        <f>SUM(D$2:D321)</f>
        <v>29827.335133333363</v>
      </c>
      <c r="H321" s="201">
        <f>SUM(E$2:E321)</f>
        <v>40096.265213333339</v>
      </c>
      <c r="I321" s="201">
        <f>SUM(F$2:F321)</f>
        <v>14493.230614838725</v>
      </c>
      <c r="J321" s="201">
        <f>Model!F$51</f>
        <v>23678.322499999998</v>
      </c>
      <c r="K321" s="201">
        <f>Model!G$51</f>
        <v>26052.648000000005</v>
      </c>
      <c r="L321" s="201">
        <f>Model!H$51</f>
        <v>27478.056499999995</v>
      </c>
      <c r="M321" s="201">
        <f>Model!I$51</f>
        <v>28903.236999999997</v>
      </c>
      <c r="N321" s="201">
        <f>Model!J$51</f>
        <v>29853.18</v>
      </c>
      <c r="O321" s="201">
        <f>Model!K$51</f>
        <v>0</v>
      </c>
      <c r="P321" s="201">
        <f>Model!L$51</f>
        <v>0</v>
      </c>
      <c r="Q321" s="201">
        <f>Model!M$51</f>
        <v>0</v>
      </c>
      <c r="R321" s="201">
        <f>Model!N$51</f>
        <v>0</v>
      </c>
      <c r="S321" s="201">
        <f>Model!R$51</f>
        <v>25000</v>
      </c>
      <c r="T321" s="204" t="str">
        <f t="shared" si="56"/>
        <v xml:space="preserve">  </v>
      </c>
      <c r="U321" s="204" t="str">
        <f t="shared" si="52"/>
        <v xml:space="preserve">  </v>
      </c>
      <c r="V321" s="204" t="str">
        <f t="shared" si="53"/>
        <v/>
      </c>
      <c r="W321" s="204" t="str">
        <f t="shared" si="50"/>
        <v xml:space="preserve">  </v>
      </c>
      <c r="X321" s="204" t="str">
        <f t="shared" si="50"/>
        <v/>
      </c>
      <c r="Y321" s="204" t="str">
        <f t="shared" si="50"/>
        <v xml:space="preserve">  </v>
      </c>
      <c r="Z321" s="204" t="str">
        <f t="shared" si="50"/>
        <v xml:space="preserve">  </v>
      </c>
      <c r="AA321" s="204" t="str">
        <f t="shared" si="57"/>
        <v xml:space="preserve">  </v>
      </c>
      <c r="AB321" s="204" t="str">
        <f t="shared" si="54"/>
        <v xml:space="preserve">  </v>
      </c>
      <c r="AC321" s="204" t="str">
        <f t="shared" si="54"/>
        <v xml:space="preserve">  </v>
      </c>
    </row>
    <row r="322" spans="1:29" x14ac:dyDescent="0.3">
      <c r="A322" s="202">
        <v>41595</v>
      </c>
      <c r="B322" s="203">
        <f t="shared" ref="B322:B366" si="58">MONTH(A322)</f>
        <v>11</v>
      </c>
      <c r="C322" s="203">
        <f t="shared" ref="C322:C366" si="59">IF(VLOOKUP($B322,$AE$2:$AF$15,2,FALSE)=0,1,IF(VLOOKUP($B322,$AE$2:$AF$15,2,FALSE)=VLOOKUP($B322,$AE$2:$AG$15,3,FALSE),0,IF(AND((VLOOKUP(($B322-1),$AE$2:$AF$15,2,FALSE)&gt;=1),VLOOKUP($B322,$AE$2:$AF$15,2,FALSE)&gt;=DAY(A322)),0,IF(AND((VLOOKUP(($B322+1),$AE$2:$AF$15,2,FALSE)&gt;=1),DAY(A322)&gt;(VLOOKUP($B322,$AE$2:$AG$15,3,FALSE)-VLOOKUP($B322,$AE$2:$AF$15,2,FALSE))),0,1))))</f>
        <v>1</v>
      </c>
      <c r="D322" s="201">
        <f t="shared" ref="D322:D366" si="60">IF(C322=0,0,VLOOKUP(B322,$AE$3:$AH$14,4,FALSE))</f>
        <v>7.0378833333333342</v>
      </c>
      <c r="E322" s="201">
        <f t="shared" si="48"/>
        <v>9.3421633333333336</v>
      </c>
      <c r="F322" s="201">
        <f t="shared" si="49"/>
        <v>4.5809096774193545</v>
      </c>
      <c r="G322" s="201">
        <f>SUM(D$2:D322)</f>
        <v>29834.373016666697</v>
      </c>
      <c r="H322" s="201">
        <f>SUM(E$2:E322)</f>
        <v>40105.607376666674</v>
      </c>
      <c r="I322" s="201">
        <f>SUM(F$2:F322)</f>
        <v>14497.811524516144</v>
      </c>
      <c r="J322" s="201">
        <f>Model!F$51</f>
        <v>23678.322499999998</v>
      </c>
      <c r="K322" s="201">
        <f>Model!G$51</f>
        <v>26052.648000000005</v>
      </c>
      <c r="L322" s="201">
        <f>Model!H$51</f>
        <v>27478.056499999995</v>
      </c>
      <c r="M322" s="201">
        <f>Model!I$51</f>
        <v>28903.236999999997</v>
      </c>
      <c r="N322" s="201">
        <f>Model!J$51</f>
        <v>29853.18</v>
      </c>
      <c r="O322" s="201">
        <f>Model!K$51</f>
        <v>0</v>
      </c>
      <c r="P322" s="201">
        <f>Model!L$51</f>
        <v>0</v>
      </c>
      <c r="Q322" s="201">
        <f>Model!M$51</f>
        <v>0</v>
      </c>
      <c r="R322" s="201">
        <f>Model!N$51</f>
        <v>0</v>
      </c>
      <c r="S322" s="201">
        <f>Model!R$51</f>
        <v>25000</v>
      </c>
      <c r="T322" s="204" t="str">
        <f t="shared" si="56"/>
        <v xml:space="preserve">  </v>
      </c>
      <c r="U322" s="204" t="str">
        <f t="shared" si="52"/>
        <v xml:space="preserve">  </v>
      </c>
      <c r="V322" s="204" t="str">
        <f t="shared" si="53"/>
        <v/>
      </c>
      <c r="W322" s="204" t="str">
        <f>IF(ISNUMBER(W321),"  ",IF(W321="  ","  ",IF($G322&gt;M322,$A322,"")))</f>
        <v xml:space="preserve">  </v>
      </c>
      <c r="X322" s="204" t="str">
        <f>IF(ISNUMBER(X321),"  ",IF(X321="  ","  ",IF($G322&gt;N322,$A322,"")))</f>
        <v/>
      </c>
      <c r="Y322" s="204" t="str">
        <f>IF(ISNUMBER(Y321),"  ",IF(Y321="  ","  ",IF($G322&gt;O322,$A322,"")))</f>
        <v xml:space="preserve">  </v>
      </c>
      <c r="Z322" s="204" t="str">
        <f>IF(ISNUMBER(Z321),"  ",IF(Z321="  ","  ",IF($G322&gt;P322,$A322,"")))</f>
        <v xml:space="preserve">  </v>
      </c>
      <c r="AA322" s="204" t="str">
        <f t="shared" si="57"/>
        <v xml:space="preserve">  </v>
      </c>
      <c r="AB322" s="204" t="str">
        <f t="shared" si="54"/>
        <v xml:space="preserve">  </v>
      </c>
      <c r="AC322" s="204" t="str">
        <f t="shared" si="54"/>
        <v xml:space="preserve">  </v>
      </c>
    </row>
    <row r="323" spans="1:29" x14ac:dyDescent="0.3">
      <c r="A323" s="202">
        <v>41596</v>
      </c>
      <c r="B323" s="203">
        <f t="shared" si="58"/>
        <v>11</v>
      </c>
      <c r="C323" s="203">
        <f t="shared" si="59"/>
        <v>1</v>
      </c>
      <c r="D323" s="201">
        <f t="shared" si="60"/>
        <v>7.0378833333333342</v>
      </c>
      <c r="E323" s="201">
        <f t="shared" ref="E323:E366" si="61">IF(C323=0,0,VLOOKUP(B323,$AE$3:$AJ$14,5,FALSE))</f>
        <v>9.3421633333333336</v>
      </c>
      <c r="F323" s="201">
        <f t="shared" ref="F323:F366" si="62">IF(C323=0,0,VLOOKUP(B323,$AE$3:$AJ$14,6,FALSE))</f>
        <v>4.5809096774193545</v>
      </c>
      <c r="G323" s="201">
        <f>SUM(D$2:D323)</f>
        <v>29841.410900000032</v>
      </c>
      <c r="H323" s="201">
        <f>SUM(E$2:E323)</f>
        <v>40114.949540000009</v>
      </c>
      <c r="I323" s="201">
        <f>SUM(F$2:F323)</f>
        <v>14502.392434193564</v>
      </c>
      <c r="J323" s="201">
        <f>Model!F$51</f>
        <v>23678.322499999998</v>
      </c>
      <c r="K323" s="201">
        <f>Model!G$51</f>
        <v>26052.648000000005</v>
      </c>
      <c r="L323" s="201">
        <f>Model!H$51</f>
        <v>27478.056499999995</v>
      </c>
      <c r="M323" s="201">
        <f>Model!I$51</f>
        <v>28903.236999999997</v>
      </c>
      <c r="N323" s="201">
        <f>Model!J$51</f>
        <v>29853.18</v>
      </c>
      <c r="O323" s="201">
        <f>Model!K$51</f>
        <v>0</v>
      </c>
      <c r="P323" s="201">
        <f>Model!L$51</f>
        <v>0</v>
      </c>
      <c r="Q323" s="201">
        <f>Model!M$51</f>
        <v>0</v>
      </c>
      <c r="R323" s="201">
        <f>Model!N$51</f>
        <v>0</v>
      </c>
      <c r="S323" s="201">
        <f>Model!R$51</f>
        <v>25000</v>
      </c>
      <c r="T323" s="204" t="str">
        <f t="shared" ref="T323:Y366" si="63">IF(ISNUMBER(T322),"  ",IF(T322="  ","  ",IF($G323&gt;J323,$A323,"")))</f>
        <v xml:space="preserve">  </v>
      </c>
      <c r="U323" s="204" t="str">
        <f t="shared" ref="U323:U366" si="64">IF(ISNUMBER(U322),"  ",IF(U322="  ","  ",IF($G323&gt;L323,$A323,"")))</f>
        <v xml:space="preserve">  </v>
      </c>
      <c r="V323" s="204" t="str">
        <f t="shared" ref="V323:V366" si="65">IF(ISNUMBER(V322),"  ",IF(V322="  ","  ",IF($G323&gt;N323,$A323,"")))</f>
        <v/>
      </c>
      <c r="W323" s="204" t="str">
        <f t="shared" si="63"/>
        <v xml:space="preserve">  </v>
      </c>
      <c r="X323" s="204" t="str">
        <f t="shared" si="63"/>
        <v/>
      </c>
      <c r="Y323" s="204" t="str">
        <f t="shared" si="63"/>
        <v xml:space="preserve">  </v>
      </c>
      <c r="Z323" s="204" t="str">
        <f t="shared" ref="Z323:AB366" si="66">IF(ISNUMBER(Z322),"  ",IF(Z322="  ","  ",IF($G323&gt;P323,$A323,"")))</f>
        <v xml:space="preserve">  </v>
      </c>
      <c r="AA323" s="204" t="str">
        <f t="shared" si="57"/>
        <v xml:space="preserve">  </v>
      </c>
      <c r="AB323" s="204" t="str">
        <f>IF(ISNUMBER(AB322),"  ",IF(AB322="  ","  ",IF($G323&gt;R323,$A323,"")))</f>
        <v xml:space="preserve">  </v>
      </c>
      <c r="AC323" s="204" t="str">
        <f t="shared" ref="AC323:AC366" si="67">IF(ISNUMBER(AC322),"  ",IF(AC322="  ","  ",IF($G323&gt;S323,$A323,"")))</f>
        <v xml:space="preserve">  </v>
      </c>
    </row>
    <row r="324" spans="1:29" x14ac:dyDescent="0.3">
      <c r="A324" s="202">
        <v>41597</v>
      </c>
      <c r="B324" s="203">
        <f t="shared" si="58"/>
        <v>11</v>
      </c>
      <c r="C324" s="203">
        <f t="shared" si="59"/>
        <v>1</v>
      </c>
      <c r="D324" s="201">
        <f t="shared" si="60"/>
        <v>7.0378833333333342</v>
      </c>
      <c r="E324" s="201">
        <f t="shared" si="61"/>
        <v>9.3421633333333336</v>
      </c>
      <c r="F324" s="201">
        <f t="shared" si="62"/>
        <v>4.5809096774193545</v>
      </c>
      <c r="G324" s="201">
        <f>SUM(D$2:D324)</f>
        <v>29848.448783333366</v>
      </c>
      <c r="H324" s="201">
        <f>SUM(E$2:E324)</f>
        <v>40124.291703333343</v>
      </c>
      <c r="I324" s="201">
        <f>SUM(F$2:F324)</f>
        <v>14506.973343870983</v>
      </c>
      <c r="J324" s="201">
        <f>Model!F$51</f>
        <v>23678.322499999998</v>
      </c>
      <c r="K324" s="201">
        <f>Model!G$51</f>
        <v>26052.648000000005</v>
      </c>
      <c r="L324" s="201">
        <f>Model!H$51</f>
        <v>27478.056499999995</v>
      </c>
      <c r="M324" s="201">
        <f>Model!I$51</f>
        <v>28903.236999999997</v>
      </c>
      <c r="N324" s="201">
        <f>Model!J$51</f>
        <v>29853.18</v>
      </c>
      <c r="O324" s="201">
        <f>Model!K$51</f>
        <v>0</v>
      </c>
      <c r="P324" s="201">
        <f>Model!L$51</f>
        <v>0</v>
      </c>
      <c r="Q324" s="201">
        <f>Model!M$51</f>
        <v>0</v>
      </c>
      <c r="R324" s="201">
        <f>Model!N$51</f>
        <v>0</v>
      </c>
      <c r="S324" s="201">
        <f>Model!R$51</f>
        <v>25000</v>
      </c>
      <c r="T324" s="204" t="str">
        <f t="shared" si="63"/>
        <v xml:space="preserve">  </v>
      </c>
      <c r="U324" s="204" t="str">
        <f t="shared" si="64"/>
        <v xml:space="preserve">  </v>
      </c>
      <c r="V324" s="204" t="str">
        <f t="shared" si="65"/>
        <v/>
      </c>
      <c r="W324" s="204" t="str">
        <f t="shared" si="63"/>
        <v xml:space="preserve">  </v>
      </c>
      <c r="X324" s="204" t="str">
        <f t="shared" si="63"/>
        <v/>
      </c>
      <c r="Y324" s="204" t="str">
        <f t="shared" si="63"/>
        <v xml:space="preserve">  </v>
      </c>
      <c r="Z324" s="204" t="str">
        <f t="shared" si="66"/>
        <v xml:space="preserve">  </v>
      </c>
      <c r="AA324" s="204" t="str">
        <f t="shared" si="57"/>
        <v xml:space="preserve">  </v>
      </c>
      <c r="AB324" s="204" t="str">
        <f>IF(ISNUMBER(AB323),"  ",IF(AB323="  ","  ",IF($G324&gt;R324,$A324,"")))</f>
        <v xml:space="preserve">  </v>
      </c>
      <c r="AC324" s="204" t="str">
        <f t="shared" si="67"/>
        <v xml:space="preserve">  </v>
      </c>
    </row>
    <row r="325" spans="1:29" x14ac:dyDescent="0.3">
      <c r="A325" s="202">
        <v>41598</v>
      </c>
      <c r="B325" s="203">
        <f t="shared" si="58"/>
        <v>11</v>
      </c>
      <c r="C325" s="203">
        <f t="shared" si="59"/>
        <v>1</v>
      </c>
      <c r="D325" s="201">
        <f t="shared" si="60"/>
        <v>7.0378833333333342</v>
      </c>
      <c r="E325" s="201">
        <f t="shared" si="61"/>
        <v>9.3421633333333336</v>
      </c>
      <c r="F325" s="201">
        <f t="shared" si="62"/>
        <v>4.5809096774193545</v>
      </c>
      <c r="G325" s="201">
        <f>SUM(D$2:D325)</f>
        <v>29855.4866666667</v>
      </c>
      <c r="H325" s="201">
        <f>SUM(E$2:E325)</f>
        <v>40133.633866666678</v>
      </c>
      <c r="I325" s="201">
        <f>SUM(F$2:F325)</f>
        <v>14511.554253548402</v>
      </c>
      <c r="J325" s="201">
        <f>Model!F$51</f>
        <v>23678.322499999998</v>
      </c>
      <c r="K325" s="201">
        <f>Model!G$51</f>
        <v>26052.648000000005</v>
      </c>
      <c r="L325" s="201">
        <f>Model!H$51</f>
        <v>27478.056499999995</v>
      </c>
      <c r="M325" s="201">
        <f>Model!I$51</f>
        <v>28903.236999999997</v>
      </c>
      <c r="N325" s="201">
        <f>Model!J$51</f>
        <v>29853.18</v>
      </c>
      <c r="O325" s="201">
        <f>Model!K$51</f>
        <v>0</v>
      </c>
      <c r="P325" s="201">
        <f>Model!L$51</f>
        <v>0</v>
      </c>
      <c r="Q325" s="201">
        <f>Model!M$51</f>
        <v>0</v>
      </c>
      <c r="R325" s="201">
        <f>Model!N$51</f>
        <v>0</v>
      </c>
      <c r="S325" s="201">
        <f>Model!R$51</f>
        <v>25000</v>
      </c>
      <c r="T325" s="204" t="str">
        <f t="shared" si="63"/>
        <v xml:space="preserve">  </v>
      </c>
      <c r="U325" s="204" t="str">
        <f t="shared" si="64"/>
        <v xml:space="preserve">  </v>
      </c>
      <c r="V325" s="204">
        <f t="shared" si="65"/>
        <v>41598</v>
      </c>
      <c r="W325" s="204" t="str">
        <f t="shared" si="63"/>
        <v xml:space="preserve">  </v>
      </c>
      <c r="X325" s="204">
        <f t="shared" si="63"/>
        <v>41598</v>
      </c>
      <c r="Y325" s="204" t="str">
        <f t="shared" si="63"/>
        <v xml:space="preserve">  </v>
      </c>
      <c r="Z325" s="204" t="str">
        <f t="shared" si="66"/>
        <v xml:space="preserve">  </v>
      </c>
      <c r="AA325" s="204" t="str">
        <f t="shared" si="66"/>
        <v xml:space="preserve">  </v>
      </c>
      <c r="AB325" s="204" t="str">
        <f t="shared" si="66"/>
        <v xml:space="preserve">  </v>
      </c>
      <c r="AC325" s="204" t="str">
        <f t="shared" si="67"/>
        <v xml:space="preserve">  </v>
      </c>
    </row>
    <row r="326" spans="1:29" x14ac:dyDescent="0.3">
      <c r="A326" s="202">
        <v>41599</v>
      </c>
      <c r="B326" s="203">
        <f t="shared" si="58"/>
        <v>11</v>
      </c>
      <c r="C326" s="203">
        <f t="shared" si="59"/>
        <v>1</v>
      </c>
      <c r="D326" s="201">
        <f t="shared" si="60"/>
        <v>7.0378833333333342</v>
      </c>
      <c r="E326" s="201">
        <f t="shared" si="61"/>
        <v>9.3421633333333336</v>
      </c>
      <c r="F326" s="201">
        <f t="shared" si="62"/>
        <v>4.5809096774193545</v>
      </c>
      <c r="G326" s="201">
        <f>SUM(D$2:D326)</f>
        <v>29862.524550000035</v>
      </c>
      <c r="H326" s="201">
        <f>SUM(E$2:E326)</f>
        <v>40142.976030000013</v>
      </c>
      <c r="I326" s="201">
        <f>SUM(F$2:F326)</f>
        <v>14516.135163225821</v>
      </c>
      <c r="J326" s="201">
        <f>Model!F$51</f>
        <v>23678.322499999998</v>
      </c>
      <c r="K326" s="201">
        <f>Model!G$51</f>
        <v>26052.648000000005</v>
      </c>
      <c r="L326" s="201">
        <f>Model!H$51</f>
        <v>27478.056499999995</v>
      </c>
      <c r="M326" s="201">
        <f>Model!I$51</f>
        <v>28903.236999999997</v>
      </c>
      <c r="N326" s="201">
        <f>Model!J$51</f>
        <v>29853.18</v>
      </c>
      <c r="O326" s="201">
        <f>Model!K$51</f>
        <v>0</v>
      </c>
      <c r="P326" s="201">
        <f>Model!L$51</f>
        <v>0</v>
      </c>
      <c r="Q326" s="201">
        <f>Model!M$51</f>
        <v>0</v>
      </c>
      <c r="R326" s="201">
        <f>Model!N$51</f>
        <v>0</v>
      </c>
      <c r="S326" s="201">
        <f>Model!R$51</f>
        <v>25000</v>
      </c>
      <c r="T326" s="204" t="str">
        <f t="shared" si="63"/>
        <v xml:space="preserve">  </v>
      </c>
      <c r="U326" s="204" t="str">
        <f t="shared" si="64"/>
        <v xml:space="preserve">  </v>
      </c>
      <c r="V326" s="204" t="str">
        <f t="shared" si="65"/>
        <v xml:space="preserve">  </v>
      </c>
      <c r="W326" s="204" t="str">
        <f t="shared" si="63"/>
        <v xml:space="preserve">  </v>
      </c>
      <c r="X326" s="204" t="str">
        <f t="shared" si="63"/>
        <v xml:space="preserve">  </v>
      </c>
      <c r="Y326" s="204" t="str">
        <f t="shared" si="63"/>
        <v xml:space="preserve">  </v>
      </c>
      <c r="Z326" s="204" t="str">
        <f t="shared" si="66"/>
        <v xml:space="preserve">  </v>
      </c>
      <c r="AA326" s="204" t="str">
        <f t="shared" si="66"/>
        <v xml:space="preserve">  </v>
      </c>
      <c r="AB326" s="204" t="str">
        <f t="shared" si="66"/>
        <v xml:space="preserve">  </v>
      </c>
      <c r="AC326" s="204" t="str">
        <f t="shared" si="67"/>
        <v xml:space="preserve">  </v>
      </c>
    </row>
    <row r="327" spans="1:29" x14ac:dyDescent="0.3">
      <c r="A327" s="202">
        <v>41600</v>
      </c>
      <c r="B327" s="203">
        <f t="shared" si="58"/>
        <v>11</v>
      </c>
      <c r="C327" s="203">
        <f t="shared" si="59"/>
        <v>1</v>
      </c>
      <c r="D327" s="201">
        <f t="shared" si="60"/>
        <v>7.0378833333333342</v>
      </c>
      <c r="E327" s="201">
        <f t="shared" si="61"/>
        <v>9.3421633333333336</v>
      </c>
      <c r="F327" s="201">
        <f t="shared" si="62"/>
        <v>4.5809096774193545</v>
      </c>
      <c r="G327" s="201">
        <f>SUM(D$2:D327)</f>
        <v>29869.562433333369</v>
      </c>
      <c r="H327" s="201">
        <f>SUM(E$2:E327)</f>
        <v>40152.318193333347</v>
      </c>
      <c r="I327" s="201">
        <f>SUM(F$2:F327)</f>
        <v>14520.71607290324</v>
      </c>
      <c r="J327" s="201">
        <f>Model!F$51</f>
        <v>23678.322499999998</v>
      </c>
      <c r="K327" s="201">
        <f>Model!G$51</f>
        <v>26052.648000000005</v>
      </c>
      <c r="L327" s="201">
        <f>Model!H$51</f>
        <v>27478.056499999995</v>
      </c>
      <c r="M327" s="201">
        <f>Model!I$51</f>
        <v>28903.236999999997</v>
      </c>
      <c r="N327" s="201">
        <f>Model!J$51</f>
        <v>29853.18</v>
      </c>
      <c r="O327" s="201">
        <f>Model!K$51</f>
        <v>0</v>
      </c>
      <c r="P327" s="201">
        <f>Model!L$51</f>
        <v>0</v>
      </c>
      <c r="Q327" s="201">
        <f>Model!M$51</f>
        <v>0</v>
      </c>
      <c r="R327" s="201">
        <f>Model!N$51</f>
        <v>0</v>
      </c>
      <c r="S327" s="201">
        <f>Model!R$51</f>
        <v>25000</v>
      </c>
      <c r="T327" s="204" t="str">
        <f t="shared" si="63"/>
        <v xml:space="preserve">  </v>
      </c>
      <c r="U327" s="204" t="str">
        <f t="shared" si="64"/>
        <v xml:space="preserve">  </v>
      </c>
      <c r="V327" s="204" t="str">
        <f t="shared" si="65"/>
        <v xml:space="preserve">  </v>
      </c>
      <c r="W327" s="204" t="str">
        <f t="shared" si="63"/>
        <v xml:space="preserve">  </v>
      </c>
      <c r="X327" s="204" t="str">
        <f t="shared" si="63"/>
        <v xml:space="preserve">  </v>
      </c>
      <c r="Y327" s="204" t="str">
        <f t="shared" si="63"/>
        <v xml:space="preserve">  </v>
      </c>
      <c r="Z327" s="204" t="str">
        <f t="shared" si="66"/>
        <v xml:space="preserve">  </v>
      </c>
      <c r="AA327" s="204" t="str">
        <f t="shared" si="66"/>
        <v xml:space="preserve">  </v>
      </c>
      <c r="AB327" s="204" t="str">
        <f t="shared" si="66"/>
        <v xml:space="preserve">  </v>
      </c>
      <c r="AC327" s="204" t="str">
        <f t="shared" si="67"/>
        <v xml:space="preserve">  </v>
      </c>
    </row>
    <row r="328" spans="1:29" x14ac:dyDescent="0.3">
      <c r="A328" s="202">
        <v>41601</v>
      </c>
      <c r="B328" s="203">
        <f t="shared" si="58"/>
        <v>11</v>
      </c>
      <c r="C328" s="203">
        <f t="shared" si="59"/>
        <v>1</v>
      </c>
      <c r="D328" s="201">
        <f t="shared" si="60"/>
        <v>7.0378833333333342</v>
      </c>
      <c r="E328" s="201">
        <f t="shared" si="61"/>
        <v>9.3421633333333336</v>
      </c>
      <c r="F328" s="201">
        <f t="shared" si="62"/>
        <v>4.5809096774193545</v>
      </c>
      <c r="G328" s="201">
        <f>SUM(D$2:D328)</f>
        <v>29876.600316666703</v>
      </c>
      <c r="H328" s="201">
        <f>SUM(E$2:E328)</f>
        <v>40161.660356666682</v>
      </c>
      <c r="I328" s="201">
        <f>SUM(F$2:F328)</f>
        <v>14525.296982580659</v>
      </c>
      <c r="J328" s="201">
        <f>Model!F$51</f>
        <v>23678.322499999998</v>
      </c>
      <c r="K328" s="201">
        <f>Model!G$51</f>
        <v>26052.648000000005</v>
      </c>
      <c r="L328" s="201">
        <f>Model!H$51</f>
        <v>27478.056499999995</v>
      </c>
      <c r="M328" s="201">
        <f>Model!I$51</f>
        <v>28903.236999999997</v>
      </c>
      <c r="N328" s="201">
        <f>Model!J$51</f>
        <v>29853.18</v>
      </c>
      <c r="O328" s="201">
        <f>Model!K$51</f>
        <v>0</v>
      </c>
      <c r="P328" s="201">
        <f>Model!L$51</f>
        <v>0</v>
      </c>
      <c r="Q328" s="201">
        <f>Model!M$51</f>
        <v>0</v>
      </c>
      <c r="R328" s="201">
        <f>Model!N$51</f>
        <v>0</v>
      </c>
      <c r="S328" s="201">
        <f>Model!R$51</f>
        <v>25000</v>
      </c>
      <c r="T328" s="204" t="str">
        <f t="shared" si="63"/>
        <v xml:space="preserve">  </v>
      </c>
      <c r="U328" s="204" t="str">
        <f t="shared" si="64"/>
        <v xml:space="preserve">  </v>
      </c>
      <c r="V328" s="204" t="str">
        <f t="shared" si="65"/>
        <v xml:space="preserve">  </v>
      </c>
      <c r="W328" s="204" t="str">
        <f t="shared" si="63"/>
        <v xml:space="preserve">  </v>
      </c>
      <c r="X328" s="204" t="str">
        <f t="shared" si="63"/>
        <v xml:space="preserve">  </v>
      </c>
      <c r="Y328" s="204" t="str">
        <f t="shared" si="63"/>
        <v xml:space="preserve">  </v>
      </c>
      <c r="Z328" s="204" t="str">
        <f t="shared" si="66"/>
        <v xml:space="preserve">  </v>
      </c>
      <c r="AA328" s="204" t="str">
        <f t="shared" si="66"/>
        <v xml:space="preserve">  </v>
      </c>
      <c r="AB328" s="204" t="str">
        <f t="shared" si="66"/>
        <v xml:space="preserve">  </v>
      </c>
      <c r="AC328" s="204" t="str">
        <f t="shared" si="67"/>
        <v xml:space="preserve">  </v>
      </c>
    </row>
    <row r="329" spans="1:29" x14ac:dyDescent="0.3">
      <c r="A329" s="202">
        <v>41602</v>
      </c>
      <c r="B329" s="203">
        <f t="shared" si="58"/>
        <v>11</v>
      </c>
      <c r="C329" s="203">
        <f t="shared" si="59"/>
        <v>1</v>
      </c>
      <c r="D329" s="201">
        <f t="shared" si="60"/>
        <v>7.0378833333333342</v>
      </c>
      <c r="E329" s="201">
        <f t="shared" si="61"/>
        <v>9.3421633333333336</v>
      </c>
      <c r="F329" s="201">
        <f t="shared" si="62"/>
        <v>4.5809096774193545</v>
      </c>
      <c r="G329" s="201">
        <f>SUM(D$2:D329)</f>
        <v>29883.638200000038</v>
      </c>
      <c r="H329" s="201">
        <f>SUM(E$2:E329)</f>
        <v>40171.002520000016</v>
      </c>
      <c r="I329" s="201">
        <f>SUM(F$2:F329)</f>
        <v>14529.877892258079</v>
      </c>
      <c r="J329" s="201">
        <f>Model!F$51</f>
        <v>23678.322499999998</v>
      </c>
      <c r="K329" s="201">
        <f>Model!G$51</f>
        <v>26052.648000000005</v>
      </c>
      <c r="L329" s="201">
        <f>Model!H$51</f>
        <v>27478.056499999995</v>
      </c>
      <c r="M329" s="201">
        <f>Model!I$51</f>
        <v>28903.236999999997</v>
      </c>
      <c r="N329" s="201">
        <f>Model!J$51</f>
        <v>29853.18</v>
      </c>
      <c r="O329" s="201">
        <f>Model!K$51</f>
        <v>0</v>
      </c>
      <c r="P329" s="201">
        <f>Model!L$51</f>
        <v>0</v>
      </c>
      <c r="Q329" s="201">
        <f>Model!M$51</f>
        <v>0</v>
      </c>
      <c r="R329" s="201">
        <f>Model!N$51</f>
        <v>0</v>
      </c>
      <c r="S329" s="201">
        <f>Model!R$51</f>
        <v>25000</v>
      </c>
      <c r="T329" s="204" t="str">
        <f t="shared" si="63"/>
        <v xml:space="preserve">  </v>
      </c>
      <c r="U329" s="204" t="str">
        <f t="shared" si="64"/>
        <v xml:space="preserve">  </v>
      </c>
      <c r="V329" s="204" t="str">
        <f t="shared" si="65"/>
        <v xml:space="preserve">  </v>
      </c>
      <c r="W329" s="204" t="str">
        <f t="shared" si="63"/>
        <v xml:space="preserve">  </v>
      </c>
      <c r="X329" s="204" t="str">
        <f t="shared" si="63"/>
        <v xml:space="preserve">  </v>
      </c>
      <c r="Y329" s="204" t="str">
        <f t="shared" si="63"/>
        <v xml:space="preserve">  </v>
      </c>
      <c r="Z329" s="204" t="str">
        <f t="shared" si="66"/>
        <v xml:space="preserve">  </v>
      </c>
      <c r="AA329" s="204" t="str">
        <f t="shared" si="66"/>
        <v xml:space="preserve">  </v>
      </c>
      <c r="AB329" s="204" t="str">
        <f t="shared" si="66"/>
        <v xml:space="preserve">  </v>
      </c>
      <c r="AC329" s="204" t="str">
        <f t="shared" si="67"/>
        <v xml:space="preserve">  </v>
      </c>
    </row>
    <row r="330" spans="1:29" x14ac:dyDescent="0.3">
      <c r="A330" s="202">
        <v>41603</v>
      </c>
      <c r="B330" s="203">
        <f t="shared" si="58"/>
        <v>11</v>
      </c>
      <c r="C330" s="203">
        <f t="shared" si="59"/>
        <v>1</v>
      </c>
      <c r="D330" s="201">
        <f t="shared" si="60"/>
        <v>7.0378833333333342</v>
      </c>
      <c r="E330" s="201">
        <f t="shared" si="61"/>
        <v>9.3421633333333336</v>
      </c>
      <c r="F330" s="201">
        <f t="shared" si="62"/>
        <v>4.5809096774193545</v>
      </c>
      <c r="G330" s="201">
        <f>SUM(D$2:D330)</f>
        <v>29890.676083333372</v>
      </c>
      <c r="H330" s="201">
        <f>SUM(E$2:E330)</f>
        <v>40180.344683333351</v>
      </c>
      <c r="I330" s="201">
        <f>SUM(F$2:F330)</f>
        <v>14534.458801935498</v>
      </c>
      <c r="J330" s="201">
        <f>Model!F$51</f>
        <v>23678.322499999998</v>
      </c>
      <c r="K330" s="201">
        <f>Model!G$51</f>
        <v>26052.648000000005</v>
      </c>
      <c r="L330" s="201">
        <f>Model!H$51</f>
        <v>27478.056499999995</v>
      </c>
      <c r="M330" s="201">
        <f>Model!I$51</f>
        <v>28903.236999999997</v>
      </c>
      <c r="N330" s="201">
        <f>Model!J$51</f>
        <v>29853.18</v>
      </c>
      <c r="O330" s="201">
        <f>Model!K$51</f>
        <v>0</v>
      </c>
      <c r="P330" s="201">
        <f>Model!L$51</f>
        <v>0</v>
      </c>
      <c r="Q330" s="201">
        <f>Model!M$51</f>
        <v>0</v>
      </c>
      <c r="R330" s="201">
        <f>Model!N$51</f>
        <v>0</v>
      </c>
      <c r="S330" s="201">
        <f>Model!R$51</f>
        <v>25000</v>
      </c>
      <c r="T330" s="204" t="str">
        <f t="shared" si="63"/>
        <v xml:space="preserve">  </v>
      </c>
      <c r="U330" s="204" t="str">
        <f t="shared" si="64"/>
        <v xml:space="preserve">  </v>
      </c>
      <c r="V330" s="204" t="str">
        <f t="shared" si="65"/>
        <v xml:space="preserve">  </v>
      </c>
      <c r="W330" s="204" t="str">
        <f t="shared" si="63"/>
        <v xml:space="preserve">  </v>
      </c>
      <c r="X330" s="204" t="str">
        <f t="shared" si="63"/>
        <v xml:space="preserve">  </v>
      </c>
      <c r="Y330" s="204" t="str">
        <f t="shared" si="63"/>
        <v xml:space="preserve">  </v>
      </c>
      <c r="Z330" s="204" t="str">
        <f t="shared" si="66"/>
        <v xml:space="preserve">  </v>
      </c>
      <c r="AA330" s="204" t="str">
        <f t="shared" si="66"/>
        <v xml:space="preserve">  </v>
      </c>
      <c r="AB330" s="204" t="str">
        <f t="shared" si="66"/>
        <v xml:space="preserve">  </v>
      </c>
      <c r="AC330" s="204" t="str">
        <f t="shared" si="67"/>
        <v xml:space="preserve">  </v>
      </c>
    </row>
    <row r="331" spans="1:29" x14ac:dyDescent="0.3">
      <c r="A331" s="202">
        <v>41604</v>
      </c>
      <c r="B331" s="203">
        <f t="shared" si="58"/>
        <v>11</v>
      </c>
      <c r="C331" s="203">
        <f t="shared" si="59"/>
        <v>1</v>
      </c>
      <c r="D331" s="201">
        <f t="shared" si="60"/>
        <v>7.0378833333333342</v>
      </c>
      <c r="E331" s="201">
        <f t="shared" si="61"/>
        <v>9.3421633333333336</v>
      </c>
      <c r="F331" s="201">
        <f t="shared" si="62"/>
        <v>4.5809096774193545</v>
      </c>
      <c r="G331" s="201">
        <f>SUM(D$2:D331)</f>
        <v>29897.713966666706</v>
      </c>
      <c r="H331" s="201">
        <f>SUM(E$2:E331)</f>
        <v>40189.686846666686</v>
      </c>
      <c r="I331" s="201">
        <f>SUM(F$2:F331)</f>
        <v>14539.039711612917</v>
      </c>
      <c r="J331" s="201">
        <f>Model!F$51</f>
        <v>23678.322499999998</v>
      </c>
      <c r="K331" s="201">
        <f>Model!G$51</f>
        <v>26052.648000000005</v>
      </c>
      <c r="L331" s="201">
        <f>Model!H$51</f>
        <v>27478.056499999995</v>
      </c>
      <c r="M331" s="201">
        <f>Model!I$51</f>
        <v>28903.236999999997</v>
      </c>
      <c r="N331" s="201">
        <f>Model!J$51</f>
        <v>29853.18</v>
      </c>
      <c r="O331" s="201">
        <f>Model!K$51</f>
        <v>0</v>
      </c>
      <c r="P331" s="201">
        <f>Model!L$51</f>
        <v>0</v>
      </c>
      <c r="Q331" s="201">
        <f>Model!M$51</f>
        <v>0</v>
      </c>
      <c r="R331" s="201">
        <f>Model!N$51</f>
        <v>0</v>
      </c>
      <c r="S331" s="201">
        <f>Model!R$51</f>
        <v>25000</v>
      </c>
      <c r="T331" s="204" t="str">
        <f t="shared" si="63"/>
        <v xml:space="preserve">  </v>
      </c>
      <c r="U331" s="204" t="str">
        <f t="shared" si="64"/>
        <v xml:space="preserve">  </v>
      </c>
      <c r="V331" s="204" t="str">
        <f t="shared" si="65"/>
        <v xml:space="preserve">  </v>
      </c>
      <c r="W331" s="204" t="str">
        <f t="shared" si="63"/>
        <v xml:space="preserve">  </v>
      </c>
      <c r="X331" s="204" t="str">
        <f t="shared" si="63"/>
        <v xml:space="preserve">  </v>
      </c>
      <c r="Y331" s="204" t="str">
        <f t="shared" si="63"/>
        <v xml:space="preserve">  </v>
      </c>
      <c r="Z331" s="204" t="str">
        <f t="shared" si="66"/>
        <v xml:space="preserve">  </v>
      </c>
      <c r="AA331" s="204" t="str">
        <f t="shared" si="66"/>
        <v xml:space="preserve">  </v>
      </c>
      <c r="AB331" s="204" t="str">
        <f t="shared" si="66"/>
        <v xml:space="preserve">  </v>
      </c>
      <c r="AC331" s="204" t="str">
        <f t="shared" si="67"/>
        <v xml:space="preserve">  </v>
      </c>
    </row>
    <row r="332" spans="1:29" x14ac:dyDescent="0.3">
      <c r="A332" s="202">
        <v>41605</v>
      </c>
      <c r="B332" s="203">
        <f t="shared" si="58"/>
        <v>11</v>
      </c>
      <c r="C332" s="203">
        <f t="shared" si="59"/>
        <v>1</v>
      </c>
      <c r="D332" s="201">
        <f t="shared" si="60"/>
        <v>7.0378833333333342</v>
      </c>
      <c r="E332" s="201">
        <f t="shared" si="61"/>
        <v>9.3421633333333336</v>
      </c>
      <c r="F332" s="201">
        <f t="shared" si="62"/>
        <v>4.5809096774193545</v>
      </c>
      <c r="G332" s="201">
        <f>SUM(D$2:D332)</f>
        <v>29904.751850000041</v>
      </c>
      <c r="H332" s="201">
        <f>SUM(E$2:E332)</f>
        <v>40199.02901000002</v>
      </c>
      <c r="I332" s="201">
        <f>SUM(F$2:F332)</f>
        <v>14543.620621290336</v>
      </c>
      <c r="J332" s="201">
        <f>Model!F$51</f>
        <v>23678.322499999998</v>
      </c>
      <c r="K332" s="201">
        <f>Model!G$51</f>
        <v>26052.648000000005</v>
      </c>
      <c r="L332" s="201">
        <f>Model!H$51</f>
        <v>27478.056499999995</v>
      </c>
      <c r="M332" s="201">
        <f>Model!I$51</f>
        <v>28903.236999999997</v>
      </c>
      <c r="N332" s="201">
        <f>Model!J$51</f>
        <v>29853.18</v>
      </c>
      <c r="O332" s="201">
        <f>Model!K$51</f>
        <v>0</v>
      </c>
      <c r="P332" s="201">
        <f>Model!L$51</f>
        <v>0</v>
      </c>
      <c r="Q332" s="201">
        <f>Model!M$51</f>
        <v>0</v>
      </c>
      <c r="R332" s="201">
        <f>Model!N$51</f>
        <v>0</v>
      </c>
      <c r="S332" s="201">
        <f>Model!R$51</f>
        <v>25000</v>
      </c>
      <c r="T332" s="204" t="str">
        <f t="shared" si="63"/>
        <v xml:space="preserve">  </v>
      </c>
      <c r="U332" s="204" t="str">
        <f t="shared" si="64"/>
        <v xml:space="preserve">  </v>
      </c>
      <c r="V332" s="204" t="str">
        <f t="shared" si="65"/>
        <v xml:space="preserve">  </v>
      </c>
      <c r="W332" s="204" t="str">
        <f t="shared" si="63"/>
        <v xml:space="preserve">  </v>
      </c>
      <c r="X332" s="204" t="str">
        <f t="shared" si="63"/>
        <v xml:space="preserve">  </v>
      </c>
      <c r="Y332" s="204" t="str">
        <f t="shared" si="63"/>
        <v xml:space="preserve">  </v>
      </c>
      <c r="Z332" s="204" t="str">
        <f t="shared" si="66"/>
        <v xml:space="preserve">  </v>
      </c>
      <c r="AA332" s="204" t="str">
        <f t="shared" si="66"/>
        <v xml:space="preserve">  </v>
      </c>
      <c r="AB332" s="204" t="str">
        <f t="shared" si="66"/>
        <v xml:space="preserve">  </v>
      </c>
      <c r="AC332" s="204" t="str">
        <f t="shared" si="67"/>
        <v xml:space="preserve">  </v>
      </c>
    </row>
    <row r="333" spans="1:29" x14ac:dyDescent="0.3">
      <c r="A333" s="202">
        <v>41606</v>
      </c>
      <c r="B333" s="203">
        <f t="shared" si="58"/>
        <v>11</v>
      </c>
      <c r="C333" s="203">
        <f t="shared" si="59"/>
        <v>1</v>
      </c>
      <c r="D333" s="201">
        <f t="shared" si="60"/>
        <v>7.0378833333333342</v>
      </c>
      <c r="E333" s="201">
        <f t="shared" si="61"/>
        <v>9.3421633333333336</v>
      </c>
      <c r="F333" s="201">
        <f t="shared" si="62"/>
        <v>4.5809096774193545</v>
      </c>
      <c r="G333" s="201">
        <f>SUM(D$2:D333)</f>
        <v>29911.789733333375</v>
      </c>
      <c r="H333" s="201">
        <f>SUM(E$2:E333)</f>
        <v>40208.371173333355</v>
      </c>
      <c r="I333" s="201">
        <f>SUM(F$2:F333)</f>
        <v>14548.201530967755</v>
      </c>
      <c r="J333" s="201">
        <f>Model!F$51</f>
        <v>23678.322499999998</v>
      </c>
      <c r="K333" s="201">
        <f>Model!G$51</f>
        <v>26052.648000000005</v>
      </c>
      <c r="L333" s="201">
        <f>Model!H$51</f>
        <v>27478.056499999995</v>
      </c>
      <c r="M333" s="201">
        <f>Model!I$51</f>
        <v>28903.236999999997</v>
      </c>
      <c r="N333" s="201">
        <f>Model!J$51</f>
        <v>29853.18</v>
      </c>
      <c r="O333" s="201">
        <f>Model!K$51</f>
        <v>0</v>
      </c>
      <c r="P333" s="201">
        <f>Model!L$51</f>
        <v>0</v>
      </c>
      <c r="Q333" s="201">
        <f>Model!M$51</f>
        <v>0</v>
      </c>
      <c r="R333" s="201">
        <f>Model!N$51</f>
        <v>0</v>
      </c>
      <c r="S333" s="201">
        <f>Model!R$51</f>
        <v>25000</v>
      </c>
      <c r="T333" s="204" t="str">
        <f t="shared" si="63"/>
        <v xml:space="preserve">  </v>
      </c>
      <c r="U333" s="204" t="str">
        <f t="shared" si="64"/>
        <v xml:space="preserve">  </v>
      </c>
      <c r="V333" s="204" t="str">
        <f t="shared" si="65"/>
        <v xml:space="preserve">  </v>
      </c>
      <c r="W333" s="204" t="str">
        <f t="shared" si="63"/>
        <v xml:space="preserve">  </v>
      </c>
      <c r="X333" s="204" t="str">
        <f t="shared" si="63"/>
        <v xml:space="preserve">  </v>
      </c>
      <c r="Y333" s="204" t="str">
        <f t="shared" si="63"/>
        <v xml:space="preserve">  </v>
      </c>
      <c r="Z333" s="204" t="str">
        <f t="shared" si="66"/>
        <v xml:space="preserve">  </v>
      </c>
      <c r="AA333" s="204" t="str">
        <f t="shared" si="66"/>
        <v xml:space="preserve">  </v>
      </c>
      <c r="AB333" s="204" t="str">
        <f t="shared" si="66"/>
        <v xml:space="preserve">  </v>
      </c>
      <c r="AC333" s="204" t="str">
        <f t="shared" si="67"/>
        <v xml:space="preserve">  </v>
      </c>
    </row>
    <row r="334" spans="1:29" x14ac:dyDescent="0.3">
      <c r="A334" s="202">
        <v>41607</v>
      </c>
      <c r="B334" s="203">
        <f t="shared" si="58"/>
        <v>11</v>
      </c>
      <c r="C334" s="203">
        <f t="shared" si="59"/>
        <v>1</v>
      </c>
      <c r="D334" s="201">
        <f t="shared" si="60"/>
        <v>7.0378833333333342</v>
      </c>
      <c r="E334" s="201">
        <f t="shared" si="61"/>
        <v>9.3421633333333336</v>
      </c>
      <c r="F334" s="201">
        <f t="shared" si="62"/>
        <v>4.5809096774193545</v>
      </c>
      <c r="G334" s="201">
        <f>SUM(D$2:D334)</f>
        <v>29918.827616666709</v>
      </c>
      <c r="H334" s="201">
        <f>SUM(E$2:E334)</f>
        <v>40217.713336666689</v>
      </c>
      <c r="I334" s="201">
        <f>SUM(F$2:F334)</f>
        <v>14552.782440645175</v>
      </c>
      <c r="J334" s="201">
        <f>Model!F$51</f>
        <v>23678.322499999998</v>
      </c>
      <c r="K334" s="201">
        <f>Model!G$51</f>
        <v>26052.648000000005</v>
      </c>
      <c r="L334" s="201">
        <f>Model!H$51</f>
        <v>27478.056499999995</v>
      </c>
      <c r="M334" s="201">
        <f>Model!I$51</f>
        <v>28903.236999999997</v>
      </c>
      <c r="N334" s="201">
        <f>Model!J$51</f>
        <v>29853.18</v>
      </c>
      <c r="O334" s="201">
        <f>Model!K$51</f>
        <v>0</v>
      </c>
      <c r="P334" s="201">
        <f>Model!L$51</f>
        <v>0</v>
      </c>
      <c r="Q334" s="201">
        <f>Model!M$51</f>
        <v>0</v>
      </c>
      <c r="R334" s="201">
        <f>Model!N$51</f>
        <v>0</v>
      </c>
      <c r="S334" s="201">
        <f>Model!R$51</f>
        <v>25000</v>
      </c>
      <c r="T334" s="204" t="str">
        <f t="shared" si="63"/>
        <v xml:space="preserve">  </v>
      </c>
      <c r="U334" s="204" t="str">
        <f t="shared" si="64"/>
        <v xml:space="preserve">  </v>
      </c>
      <c r="V334" s="204" t="str">
        <f t="shared" si="65"/>
        <v xml:space="preserve">  </v>
      </c>
      <c r="W334" s="204" t="str">
        <f t="shared" si="63"/>
        <v xml:space="preserve">  </v>
      </c>
      <c r="X334" s="204" t="str">
        <f t="shared" si="63"/>
        <v xml:space="preserve">  </v>
      </c>
      <c r="Y334" s="204" t="str">
        <f t="shared" si="63"/>
        <v xml:space="preserve">  </v>
      </c>
      <c r="Z334" s="204" t="str">
        <f t="shared" si="66"/>
        <v xml:space="preserve">  </v>
      </c>
      <c r="AA334" s="204" t="str">
        <f t="shared" si="66"/>
        <v xml:space="preserve">  </v>
      </c>
      <c r="AB334" s="204" t="str">
        <f t="shared" si="66"/>
        <v xml:space="preserve">  </v>
      </c>
      <c r="AC334" s="204" t="str">
        <f t="shared" si="67"/>
        <v xml:space="preserve">  </v>
      </c>
    </row>
    <row r="335" spans="1:29" x14ac:dyDescent="0.3">
      <c r="A335" s="202">
        <v>41608</v>
      </c>
      <c r="B335" s="203">
        <f t="shared" si="58"/>
        <v>11</v>
      </c>
      <c r="C335" s="203">
        <f t="shared" si="59"/>
        <v>1</v>
      </c>
      <c r="D335" s="201">
        <f t="shared" si="60"/>
        <v>7.0378833333333342</v>
      </c>
      <c r="E335" s="201">
        <f t="shared" si="61"/>
        <v>9.3421633333333336</v>
      </c>
      <c r="F335" s="201">
        <f t="shared" si="62"/>
        <v>4.5809096774193545</v>
      </c>
      <c r="G335" s="201">
        <f>SUM(D$2:D335)</f>
        <v>29925.865500000044</v>
      </c>
      <c r="H335" s="201">
        <f>SUM(E$2:E335)</f>
        <v>40227.055500000024</v>
      </c>
      <c r="I335" s="201">
        <f>SUM(F$2:F335)</f>
        <v>14557.363350322594</v>
      </c>
      <c r="J335" s="201">
        <f>Model!F$51</f>
        <v>23678.322499999998</v>
      </c>
      <c r="K335" s="201">
        <f>Model!G$51</f>
        <v>26052.648000000005</v>
      </c>
      <c r="L335" s="201">
        <f>Model!H$51</f>
        <v>27478.056499999995</v>
      </c>
      <c r="M335" s="201">
        <f>Model!I$51</f>
        <v>28903.236999999997</v>
      </c>
      <c r="N335" s="201">
        <f>Model!J$51</f>
        <v>29853.18</v>
      </c>
      <c r="O335" s="201">
        <f>Model!K$51</f>
        <v>0</v>
      </c>
      <c r="P335" s="201">
        <f>Model!L$51</f>
        <v>0</v>
      </c>
      <c r="Q335" s="201">
        <f>Model!M$51</f>
        <v>0</v>
      </c>
      <c r="R335" s="201">
        <f>Model!N$51</f>
        <v>0</v>
      </c>
      <c r="S335" s="201">
        <f>Model!R$51</f>
        <v>25000</v>
      </c>
      <c r="T335" s="204" t="str">
        <f t="shared" si="63"/>
        <v xml:space="preserve">  </v>
      </c>
      <c r="U335" s="204" t="str">
        <f t="shared" si="64"/>
        <v xml:space="preserve">  </v>
      </c>
      <c r="V335" s="204" t="str">
        <f t="shared" si="65"/>
        <v xml:space="preserve">  </v>
      </c>
      <c r="W335" s="204" t="str">
        <f t="shared" si="63"/>
        <v xml:space="preserve">  </v>
      </c>
      <c r="X335" s="204" t="str">
        <f t="shared" si="63"/>
        <v xml:space="preserve">  </v>
      </c>
      <c r="Y335" s="204" t="str">
        <f t="shared" si="63"/>
        <v xml:space="preserve">  </v>
      </c>
      <c r="Z335" s="204" t="str">
        <f t="shared" si="66"/>
        <v xml:space="preserve">  </v>
      </c>
      <c r="AA335" s="204" t="str">
        <f t="shared" si="66"/>
        <v xml:space="preserve">  </v>
      </c>
      <c r="AB335" s="204" t="str">
        <f t="shared" si="66"/>
        <v xml:space="preserve">  </v>
      </c>
      <c r="AC335" s="204" t="str">
        <f t="shared" si="67"/>
        <v xml:space="preserve">  </v>
      </c>
    </row>
    <row r="336" spans="1:29" x14ac:dyDescent="0.3">
      <c r="A336" s="202">
        <v>41609</v>
      </c>
      <c r="B336" s="203">
        <f t="shared" si="58"/>
        <v>12</v>
      </c>
      <c r="C336" s="203">
        <f t="shared" si="59"/>
        <v>1</v>
      </c>
      <c r="D336" s="201">
        <f t="shared" si="60"/>
        <v>7.0378870967741936</v>
      </c>
      <c r="E336" s="201">
        <f t="shared" si="61"/>
        <v>9.342161290322581</v>
      </c>
      <c r="F336" s="201">
        <f t="shared" si="62"/>
        <v>4.8913966666666662</v>
      </c>
      <c r="G336" s="201">
        <f>SUM(D$2:D336)</f>
        <v>29932.903387096816</v>
      </c>
      <c r="H336" s="201">
        <f>SUM(E$2:E336)</f>
        <v>40236.39766129035</v>
      </c>
      <c r="I336" s="201">
        <f>SUM(F$2:F336)</f>
        <v>14562.25474698926</v>
      </c>
      <c r="J336" s="201">
        <f>Model!F$51</f>
        <v>23678.322499999998</v>
      </c>
      <c r="K336" s="201">
        <f>Model!G$51</f>
        <v>26052.648000000005</v>
      </c>
      <c r="L336" s="201">
        <f>Model!H$51</f>
        <v>27478.056499999995</v>
      </c>
      <c r="M336" s="201">
        <f>Model!I$51</f>
        <v>28903.236999999997</v>
      </c>
      <c r="N336" s="201">
        <f>Model!J$51</f>
        <v>29853.18</v>
      </c>
      <c r="O336" s="201">
        <f>Model!K$51</f>
        <v>0</v>
      </c>
      <c r="P336" s="201">
        <f>Model!L$51</f>
        <v>0</v>
      </c>
      <c r="Q336" s="201">
        <f>Model!M$51</f>
        <v>0</v>
      </c>
      <c r="R336" s="201">
        <f>Model!N$51</f>
        <v>0</v>
      </c>
      <c r="S336" s="201">
        <f>Model!R$51</f>
        <v>25000</v>
      </c>
      <c r="T336" s="204" t="str">
        <f t="shared" si="63"/>
        <v xml:space="preserve">  </v>
      </c>
      <c r="U336" s="204" t="str">
        <f t="shared" si="64"/>
        <v xml:space="preserve">  </v>
      </c>
      <c r="V336" s="204" t="str">
        <f t="shared" si="65"/>
        <v xml:space="preserve">  </v>
      </c>
      <c r="W336" s="204" t="str">
        <f t="shared" si="63"/>
        <v xml:space="preserve">  </v>
      </c>
      <c r="X336" s="204" t="str">
        <f t="shared" si="63"/>
        <v xml:space="preserve">  </v>
      </c>
      <c r="Y336" s="204" t="str">
        <f t="shared" si="63"/>
        <v xml:space="preserve">  </v>
      </c>
      <c r="Z336" s="204" t="str">
        <f t="shared" si="66"/>
        <v xml:space="preserve">  </v>
      </c>
      <c r="AA336" s="204" t="str">
        <f t="shared" si="66"/>
        <v xml:space="preserve">  </v>
      </c>
      <c r="AB336" s="204" t="str">
        <f t="shared" si="66"/>
        <v xml:space="preserve">  </v>
      </c>
      <c r="AC336" s="204" t="str">
        <f t="shared" si="67"/>
        <v xml:space="preserve">  </v>
      </c>
    </row>
    <row r="337" spans="1:29" x14ac:dyDescent="0.3">
      <c r="A337" s="202">
        <v>41610</v>
      </c>
      <c r="B337" s="203">
        <f t="shared" si="58"/>
        <v>12</v>
      </c>
      <c r="C337" s="203">
        <f t="shared" si="59"/>
        <v>1</v>
      </c>
      <c r="D337" s="201">
        <f t="shared" si="60"/>
        <v>7.0378870967741936</v>
      </c>
      <c r="E337" s="201">
        <f t="shared" si="61"/>
        <v>9.342161290322581</v>
      </c>
      <c r="F337" s="201">
        <f t="shared" si="62"/>
        <v>4.8913966666666662</v>
      </c>
      <c r="G337" s="201">
        <f>SUM(D$2:D337)</f>
        <v>29939.941274193588</v>
      </c>
      <c r="H337" s="201">
        <f>SUM(E$2:E337)</f>
        <v>40245.739822580676</v>
      </c>
      <c r="I337" s="201">
        <f>SUM(F$2:F337)</f>
        <v>14567.146143655926</v>
      </c>
      <c r="J337" s="201">
        <f>Model!F$51</f>
        <v>23678.322499999998</v>
      </c>
      <c r="K337" s="201">
        <f>Model!G$51</f>
        <v>26052.648000000005</v>
      </c>
      <c r="L337" s="201">
        <f>Model!H$51</f>
        <v>27478.056499999995</v>
      </c>
      <c r="M337" s="201">
        <f>Model!I$51</f>
        <v>28903.236999999997</v>
      </c>
      <c r="N337" s="201">
        <f>Model!J$51</f>
        <v>29853.18</v>
      </c>
      <c r="O337" s="201">
        <f>Model!K$51</f>
        <v>0</v>
      </c>
      <c r="P337" s="201">
        <f>Model!L$51</f>
        <v>0</v>
      </c>
      <c r="Q337" s="201">
        <f>Model!M$51</f>
        <v>0</v>
      </c>
      <c r="R337" s="201">
        <f>Model!N$51</f>
        <v>0</v>
      </c>
      <c r="S337" s="201">
        <f>Model!R$51</f>
        <v>25000</v>
      </c>
      <c r="T337" s="204" t="str">
        <f t="shared" si="63"/>
        <v xml:space="preserve">  </v>
      </c>
      <c r="U337" s="204" t="str">
        <f t="shared" si="64"/>
        <v xml:space="preserve">  </v>
      </c>
      <c r="V337" s="204" t="str">
        <f t="shared" si="65"/>
        <v xml:space="preserve">  </v>
      </c>
      <c r="W337" s="204" t="str">
        <f t="shared" si="63"/>
        <v xml:space="preserve">  </v>
      </c>
      <c r="X337" s="204" t="str">
        <f t="shared" si="63"/>
        <v xml:space="preserve">  </v>
      </c>
      <c r="Y337" s="204" t="str">
        <f t="shared" si="63"/>
        <v xml:space="preserve">  </v>
      </c>
      <c r="Z337" s="204" t="str">
        <f t="shared" si="66"/>
        <v xml:space="preserve">  </v>
      </c>
      <c r="AA337" s="204" t="str">
        <f t="shared" si="66"/>
        <v xml:space="preserve">  </v>
      </c>
      <c r="AB337" s="204" t="str">
        <f t="shared" si="66"/>
        <v xml:space="preserve">  </v>
      </c>
      <c r="AC337" s="204" t="str">
        <f t="shared" si="67"/>
        <v xml:space="preserve">  </v>
      </c>
    </row>
    <row r="338" spans="1:29" x14ac:dyDescent="0.3">
      <c r="A338" s="202">
        <v>41611</v>
      </c>
      <c r="B338" s="203">
        <f t="shared" si="58"/>
        <v>12</v>
      </c>
      <c r="C338" s="203">
        <f t="shared" si="59"/>
        <v>1</v>
      </c>
      <c r="D338" s="201">
        <f t="shared" si="60"/>
        <v>7.0378870967741936</v>
      </c>
      <c r="E338" s="201">
        <f t="shared" si="61"/>
        <v>9.342161290322581</v>
      </c>
      <c r="F338" s="201">
        <f t="shared" si="62"/>
        <v>4.8913966666666662</v>
      </c>
      <c r="G338" s="201">
        <f>SUM(D$2:D338)</f>
        <v>29946.979161290361</v>
      </c>
      <c r="H338" s="201">
        <f>SUM(E$2:E338)</f>
        <v>40255.081983871001</v>
      </c>
      <c r="I338" s="201">
        <f>SUM(F$2:F338)</f>
        <v>14572.037540322592</v>
      </c>
      <c r="J338" s="201">
        <f>Model!F$51</f>
        <v>23678.322499999998</v>
      </c>
      <c r="K338" s="201">
        <f>Model!G$51</f>
        <v>26052.648000000005</v>
      </c>
      <c r="L338" s="201">
        <f>Model!H$51</f>
        <v>27478.056499999995</v>
      </c>
      <c r="M338" s="201">
        <f>Model!I$51</f>
        <v>28903.236999999997</v>
      </c>
      <c r="N338" s="201">
        <f>Model!J$51</f>
        <v>29853.18</v>
      </c>
      <c r="O338" s="201">
        <f>Model!K$51</f>
        <v>0</v>
      </c>
      <c r="P338" s="201">
        <f>Model!L$51</f>
        <v>0</v>
      </c>
      <c r="Q338" s="201">
        <f>Model!M$51</f>
        <v>0</v>
      </c>
      <c r="R338" s="201">
        <f>Model!N$51</f>
        <v>0</v>
      </c>
      <c r="S338" s="201">
        <f>Model!R$51</f>
        <v>25000</v>
      </c>
      <c r="T338" s="204" t="str">
        <f t="shared" si="63"/>
        <v xml:space="preserve">  </v>
      </c>
      <c r="U338" s="204" t="str">
        <f t="shared" si="64"/>
        <v xml:space="preserve">  </v>
      </c>
      <c r="V338" s="204" t="str">
        <f t="shared" si="65"/>
        <v xml:space="preserve">  </v>
      </c>
      <c r="W338" s="204" t="str">
        <f t="shared" si="63"/>
        <v xml:space="preserve">  </v>
      </c>
      <c r="X338" s="204" t="str">
        <f t="shared" si="63"/>
        <v xml:space="preserve">  </v>
      </c>
      <c r="Y338" s="204" t="str">
        <f t="shared" si="63"/>
        <v xml:space="preserve">  </v>
      </c>
      <c r="Z338" s="204" t="str">
        <f t="shared" si="66"/>
        <v xml:space="preserve">  </v>
      </c>
      <c r="AA338" s="204" t="str">
        <f t="shared" si="66"/>
        <v xml:space="preserve">  </v>
      </c>
      <c r="AB338" s="204" t="str">
        <f t="shared" si="66"/>
        <v xml:space="preserve">  </v>
      </c>
      <c r="AC338" s="204" t="str">
        <f t="shared" si="67"/>
        <v xml:space="preserve">  </v>
      </c>
    </row>
    <row r="339" spans="1:29" x14ac:dyDescent="0.3">
      <c r="A339" s="202">
        <v>41612</v>
      </c>
      <c r="B339" s="203">
        <f t="shared" si="58"/>
        <v>12</v>
      </c>
      <c r="C339" s="203">
        <f t="shared" si="59"/>
        <v>1</v>
      </c>
      <c r="D339" s="201">
        <f t="shared" si="60"/>
        <v>7.0378870967741936</v>
      </c>
      <c r="E339" s="201">
        <f t="shared" si="61"/>
        <v>9.342161290322581</v>
      </c>
      <c r="F339" s="201">
        <f t="shared" si="62"/>
        <v>4.8913966666666662</v>
      </c>
      <c r="G339" s="201">
        <f>SUM(D$2:D339)</f>
        <v>29954.017048387133</v>
      </c>
      <c r="H339" s="201">
        <f>SUM(E$2:E339)</f>
        <v>40264.424145161327</v>
      </c>
      <c r="I339" s="201">
        <f>SUM(F$2:F339)</f>
        <v>14576.928936989258</v>
      </c>
      <c r="J339" s="201">
        <f>Model!F$51</f>
        <v>23678.322499999998</v>
      </c>
      <c r="K339" s="201">
        <f>Model!G$51</f>
        <v>26052.648000000005</v>
      </c>
      <c r="L339" s="201">
        <f>Model!H$51</f>
        <v>27478.056499999995</v>
      </c>
      <c r="M339" s="201">
        <f>Model!I$51</f>
        <v>28903.236999999997</v>
      </c>
      <c r="N339" s="201">
        <f>Model!J$51</f>
        <v>29853.18</v>
      </c>
      <c r="O339" s="201">
        <f>Model!K$51</f>
        <v>0</v>
      </c>
      <c r="P339" s="201">
        <f>Model!L$51</f>
        <v>0</v>
      </c>
      <c r="Q339" s="201">
        <f>Model!M$51</f>
        <v>0</v>
      </c>
      <c r="R339" s="201">
        <f>Model!N$51</f>
        <v>0</v>
      </c>
      <c r="S339" s="201">
        <f>Model!R$51</f>
        <v>25000</v>
      </c>
      <c r="T339" s="204" t="str">
        <f t="shared" si="63"/>
        <v xml:space="preserve">  </v>
      </c>
      <c r="U339" s="204" t="str">
        <f t="shared" si="64"/>
        <v xml:space="preserve">  </v>
      </c>
      <c r="V339" s="204" t="str">
        <f t="shared" si="65"/>
        <v xml:space="preserve">  </v>
      </c>
      <c r="W339" s="204" t="str">
        <f t="shared" si="63"/>
        <v xml:space="preserve">  </v>
      </c>
      <c r="X339" s="204" t="str">
        <f t="shared" si="63"/>
        <v xml:space="preserve">  </v>
      </c>
      <c r="Y339" s="204" t="str">
        <f t="shared" si="63"/>
        <v xml:space="preserve">  </v>
      </c>
      <c r="Z339" s="204" t="str">
        <f t="shared" si="66"/>
        <v xml:space="preserve">  </v>
      </c>
      <c r="AA339" s="204" t="str">
        <f t="shared" si="66"/>
        <v xml:space="preserve">  </v>
      </c>
      <c r="AB339" s="204" t="str">
        <f t="shared" si="66"/>
        <v xml:space="preserve">  </v>
      </c>
      <c r="AC339" s="204" t="str">
        <f t="shared" si="67"/>
        <v xml:space="preserve">  </v>
      </c>
    </row>
    <row r="340" spans="1:29" x14ac:dyDescent="0.3">
      <c r="A340" s="202">
        <v>41613</v>
      </c>
      <c r="B340" s="203">
        <f t="shared" si="58"/>
        <v>12</v>
      </c>
      <c r="C340" s="203">
        <f t="shared" si="59"/>
        <v>1</v>
      </c>
      <c r="D340" s="201">
        <f t="shared" si="60"/>
        <v>7.0378870967741936</v>
      </c>
      <c r="E340" s="201">
        <f t="shared" si="61"/>
        <v>9.342161290322581</v>
      </c>
      <c r="F340" s="201">
        <f t="shared" si="62"/>
        <v>4.8913966666666662</v>
      </c>
      <c r="G340" s="201">
        <f>SUM(D$2:D340)</f>
        <v>29961.054935483906</v>
      </c>
      <c r="H340" s="201">
        <f>SUM(E$2:E340)</f>
        <v>40273.766306451653</v>
      </c>
      <c r="I340" s="201">
        <f>SUM(F$2:F340)</f>
        <v>14581.820333655924</v>
      </c>
      <c r="J340" s="201">
        <f>Model!F$51</f>
        <v>23678.322499999998</v>
      </c>
      <c r="K340" s="201">
        <f>Model!G$51</f>
        <v>26052.648000000005</v>
      </c>
      <c r="L340" s="201">
        <f>Model!H$51</f>
        <v>27478.056499999995</v>
      </c>
      <c r="M340" s="201">
        <f>Model!I$51</f>
        <v>28903.236999999997</v>
      </c>
      <c r="N340" s="201">
        <f>Model!J$51</f>
        <v>29853.18</v>
      </c>
      <c r="O340" s="201">
        <f>Model!K$51</f>
        <v>0</v>
      </c>
      <c r="P340" s="201">
        <f>Model!L$51</f>
        <v>0</v>
      </c>
      <c r="Q340" s="201">
        <f>Model!M$51</f>
        <v>0</v>
      </c>
      <c r="R340" s="201">
        <f>Model!N$51</f>
        <v>0</v>
      </c>
      <c r="S340" s="201">
        <f>Model!R$51</f>
        <v>25000</v>
      </c>
      <c r="T340" s="204" t="str">
        <f t="shared" si="63"/>
        <v xml:space="preserve">  </v>
      </c>
      <c r="U340" s="204" t="str">
        <f t="shared" si="64"/>
        <v xml:space="preserve">  </v>
      </c>
      <c r="V340" s="204" t="str">
        <f t="shared" si="65"/>
        <v xml:space="preserve">  </v>
      </c>
      <c r="W340" s="204" t="str">
        <f t="shared" si="63"/>
        <v xml:space="preserve">  </v>
      </c>
      <c r="X340" s="204" t="str">
        <f t="shared" si="63"/>
        <v xml:space="preserve">  </v>
      </c>
      <c r="Y340" s="204" t="str">
        <f t="shared" si="63"/>
        <v xml:space="preserve">  </v>
      </c>
      <c r="Z340" s="204" t="str">
        <f t="shared" si="66"/>
        <v xml:space="preserve">  </v>
      </c>
      <c r="AA340" s="204" t="str">
        <f t="shared" si="66"/>
        <v xml:space="preserve">  </v>
      </c>
      <c r="AB340" s="204" t="str">
        <f t="shared" si="66"/>
        <v xml:space="preserve">  </v>
      </c>
      <c r="AC340" s="204" t="str">
        <f t="shared" si="67"/>
        <v xml:space="preserve">  </v>
      </c>
    </row>
    <row r="341" spans="1:29" x14ac:dyDescent="0.3">
      <c r="A341" s="202">
        <v>41614</v>
      </c>
      <c r="B341" s="203">
        <f t="shared" si="58"/>
        <v>12</v>
      </c>
      <c r="C341" s="203">
        <f t="shared" si="59"/>
        <v>1</v>
      </c>
      <c r="D341" s="201">
        <f t="shared" si="60"/>
        <v>7.0378870967741936</v>
      </c>
      <c r="E341" s="201">
        <f t="shared" si="61"/>
        <v>9.342161290322581</v>
      </c>
      <c r="F341" s="201">
        <f t="shared" si="62"/>
        <v>4.8913966666666662</v>
      </c>
      <c r="G341" s="201">
        <f>SUM(D$2:D341)</f>
        <v>29968.092822580678</v>
      </c>
      <c r="H341" s="201">
        <f>SUM(E$2:E341)</f>
        <v>40283.108467741979</v>
      </c>
      <c r="I341" s="201">
        <f>SUM(F$2:F341)</f>
        <v>14586.71173032259</v>
      </c>
      <c r="J341" s="201">
        <f>Model!F$51</f>
        <v>23678.322499999998</v>
      </c>
      <c r="K341" s="201">
        <f>Model!G$51</f>
        <v>26052.648000000005</v>
      </c>
      <c r="L341" s="201">
        <f>Model!H$51</f>
        <v>27478.056499999995</v>
      </c>
      <c r="M341" s="201">
        <f>Model!I$51</f>
        <v>28903.236999999997</v>
      </c>
      <c r="N341" s="201">
        <f>Model!J$51</f>
        <v>29853.18</v>
      </c>
      <c r="O341" s="201">
        <f>Model!K$51</f>
        <v>0</v>
      </c>
      <c r="P341" s="201">
        <f>Model!L$51</f>
        <v>0</v>
      </c>
      <c r="Q341" s="201">
        <f>Model!M$51</f>
        <v>0</v>
      </c>
      <c r="R341" s="201">
        <f>Model!N$51</f>
        <v>0</v>
      </c>
      <c r="S341" s="201">
        <f>Model!R$51</f>
        <v>25000</v>
      </c>
      <c r="T341" s="204" t="str">
        <f t="shared" si="63"/>
        <v xml:space="preserve">  </v>
      </c>
      <c r="U341" s="204" t="str">
        <f t="shared" si="64"/>
        <v xml:space="preserve">  </v>
      </c>
      <c r="V341" s="204" t="str">
        <f t="shared" si="65"/>
        <v xml:space="preserve">  </v>
      </c>
      <c r="W341" s="204" t="str">
        <f t="shared" si="63"/>
        <v xml:space="preserve">  </v>
      </c>
      <c r="X341" s="204" t="str">
        <f t="shared" si="63"/>
        <v xml:space="preserve">  </v>
      </c>
      <c r="Y341" s="204" t="str">
        <f t="shared" si="63"/>
        <v xml:space="preserve">  </v>
      </c>
      <c r="Z341" s="204" t="str">
        <f t="shared" si="66"/>
        <v xml:space="preserve">  </v>
      </c>
      <c r="AA341" s="204" t="str">
        <f t="shared" si="66"/>
        <v xml:space="preserve">  </v>
      </c>
      <c r="AB341" s="204" t="str">
        <f t="shared" si="66"/>
        <v xml:space="preserve">  </v>
      </c>
      <c r="AC341" s="204" t="str">
        <f t="shared" si="67"/>
        <v xml:space="preserve">  </v>
      </c>
    </row>
    <row r="342" spans="1:29" x14ac:dyDescent="0.3">
      <c r="A342" s="202">
        <v>41615</v>
      </c>
      <c r="B342" s="203">
        <f t="shared" si="58"/>
        <v>12</v>
      </c>
      <c r="C342" s="203">
        <f t="shared" si="59"/>
        <v>1</v>
      </c>
      <c r="D342" s="201">
        <f t="shared" si="60"/>
        <v>7.0378870967741936</v>
      </c>
      <c r="E342" s="201">
        <f t="shared" si="61"/>
        <v>9.342161290322581</v>
      </c>
      <c r="F342" s="201">
        <f t="shared" si="62"/>
        <v>4.8913966666666662</v>
      </c>
      <c r="G342" s="201">
        <f>SUM(D$2:D342)</f>
        <v>29975.130709677451</v>
      </c>
      <c r="H342" s="201">
        <f>SUM(E$2:E342)</f>
        <v>40292.450629032304</v>
      </c>
      <c r="I342" s="201">
        <f>SUM(F$2:F342)</f>
        <v>14591.603126989256</v>
      </c>
      <c r="J342" s="201">
        <f>Model!F$51</f>
        <v>23678.322499999998</v>
      </c>
      <c r="K342" s="201">
        <f>Model!G$51</f>
        <v>26052.648000000005</v>
      </c>
      <c r="L342" s="201">
        <f>Model!H$51</f>
        <v>27478.056499999995</v>
      </c>
      <c r="M342" s="201">
        <f>Model!I$51</f>
        <v>28903.236999999997</v>
      </c>
      <c r="N342" s="201">
        <f>Model!J$51</f>
        <v>29853.18</v>
      </c>
      <c r="O342" s="201">
        <f>Model!K$51</f>
        <v>0</v>
      </c>
      <c r="P342" s="201">
        <f>Model!L$51</f>
        <v>0</v>
      </c>
      <c r="Q342" s="201">
        <f>Model!M$51</f>
        <v>0</v>
      </c>
      <c r="R342" s="201">
        <f>Model!N$51</f>
        <v>0</v>
      </c>
      <c r="S342" s="201">
        <f>Model!R$51</f>
        <v>25000</v>
      </c>
      <c r="T342" s="204" t="str">
        <f t="shared" si="63"/>
        <v xml:space="preserve">  </v>
      </c>
      <c r="U342" s="204" t="str">
        <f t="shared" si="64"/>
        <v xml:space="preserve">  </v>
      </c>
      <c r="V342" s="204" t="str">
        <f t="shared" si="65"/>
        <v xml:space="preserve">  </v>
      </c>
      <c r="W342" s="204" t="str">
        <f t="shared" si="63"/>
        <v xml:space="preserve">  </v>
      </c>
      <c r="X342" s="204" t="str">
        <f t="shared" si="63"/>
        <v xml:space="preserve">  </v>
      </c>
      <c r="Y342" s="204" t="str">
        <f t="shared" si="63"/>
        <v xml:space="preserve">  </v>
      </c>
      <c r="Z342" s="204" t="str">
        <f t="shared" si="66"/>
        <v xml:space="preserve">  </v>
      </c>
      <c r="AA342" s="204" t="str">
        <f t="shared" si="66"/>
        <v xml:space="preserve">  </v>
      </c>
      <c r="AB342" s="204" t="str">
        <f t="shared" si="66"/>
        <v xml:space="preserve">  </v>
      </c>
      <c r="AC342" s="204" t="str">
        <f t="shared" si="67"/>
        <v xml:space="preserve">  </v>
      </c>
    </row>
    <row r="343" spans="1:29" x14ac:dyDescent="0.3">
      <c r="A343" s="202">
        <v>41616</v>
      </c>
      <c r="B343" s="203">
        <f t="shared" si="58"/>
        <v>12</v>
      </c>
      <c r="C343" s="203">
        <f t="shared" si="59"/>
        <v>1</v>
      </c>
      <c r="D343" s="201">
        <f t="shared" si="60"/>
        <v>7.0378870967741936</v>
      </c>
      <c r="E343" s="201">
        <f t="shared" si="61"/>
        <v>9.342161290322581</v>
      </c>
      <c r="F343" s="201">
        <f t="shared" si="62"/>
        <v>4.8913966666666662</v>
      </c>
      <c r="G343" s="201">
        <f>SUM(D$2:D343)</f>
        <v>29982.168596774223</v>
      </c>
      <c r="H343" s="201">
        <f>SUM(E$2:E343)</f>
        <v>40301.79279032263</v>
      </c>
      <c r="I343" s="201">
        <f>SUM(F$2:F343)</f>
        <v>14596.494523655922</v>
      </c>
      <c r="J343" s="201">
        <f>Model!F$51</f>
        <v>23678.322499999998</v>
      </c>
      <c r="K343" s="201">
        <f>Model!G$51</f>
        <v>26052.648000000005</v>
      </c>
      <c r="L343" s="201">
        <f>Model!H$51</f>
        <v>27478.056499999995</v>
      </c>
      <c r="M343" s="201">
        <f>Model!I$51</f>
        <v>28903.236999999997</v>
      </c>
      <c r="N343" s="201">
        <f>Model!J$51</f>
        <v>29853.18</v>
      </c>
      <c r="O343" s="201">
        <f>Model!K$51</f>
        <v>0</v>
      </c>
      <c r="P343" s="201">
        <f>Model!L$51</f>
        <v>0</v>
      </c>
      <c r="Q343" s="201">
        <f>Model!M$51</f>
        <v>0</v>
      </c>
      <c r="R343" s="201">
        <f>Model!N$51</f>
        <v>0</v>
      </c>
      <c r="S343" s="201">
        <f>Model!R$51</f>
        <v>25000</v>
      </c>
      <c r="T343" s="204" t="str">
        <f t="shared" si="63"/>
        <v xml:space="preserve">  </v>
      </c>
      <c r="U343" s="204" t="str">
        <f t="shared" si="64"/>
        <v xml:space="preserve">  </v>
      </c>
      <c r="V343" s="204" t="str">
        <f t="shared" si="65"/>
        <v xml:space="preserve">  </v>
      </c>
      <c r="W343" s="204" t="str">
        <f t="shared" si="63"/>
        <v xml:space="preserve">  </v>
      </c>
      <c r="X343" s="204" t="str">
        <f t="shared" si="63"/>
        <v xml:space="preserve">  </v>
      </c>
      <c r="Y343" s="204" t="str">
        <f t="shared" si="63"/>
        <v xml:space="preserve">  </v>
      </c>
      <c r="Z343" s="204" t="str">
        <f t="shared" si="66"/>
        <v xml:space="preserve">  </v>
      </c>
      <c r="AA343" s="204" t="str">
        <f t="shared" si="66"/>
        <v xml:space="preserve">  </v>
      </c>
      <c r="AB343" s="204" t="str">
        <f t="shared" si="66"/>
        <v xml:space="preserve">  </v>
      </c>
      <c r="AC343" s="204" t="str">
        <f t="shared" si="67"/>
        <v xml:space="preserve">  </v>
      </c>
    </row>
    <row r="344" spans="1:29" x14ac:dyDescent="0.3">
      <c r="A344" s="202">
        <v>41617</v>
      </c>
      <c r="B344" s="203">
        <f t="shared" si="58"/>
        <v>12</v>
      </c>
      <c r="C344" s="203">
        <f t="shared" si="59"/>
        <v>1</v>
      </c>
      <c r="D344" s="201">
        <f t="shared" si="60"/>
        <v>7.0378870967741936</v>
      </c>
      <c r="E344" s="201">
        <f t="shared" si="61"/>
        <v>9.342161290322581</v>
      </c>
      <c r="F344" s="201">
        <f t="shared" si="62"/>
        <v>4.8913966666666662</v>
      </c>
      <c r="G344" s="201">
        <f>SUM(D$2:D344)</f>
        <v>29989.206483870996</v>
      </c>
      <c r="H344" s="201">
        <f>SUM(E$2:E344)</f>
        <v>40311.134951612956</v>
      </c>
      <c r="I344" s="201">
        <f>SUM(F$2:F344)</f>
        <v>14601.385920322587</v>
      </c>
      <c r="J344" s="201">
        <f>Model!F$51</f>
        <v>23678.322499999998</v>
      </c>
      <c r="K344" s="201">
        <f>Model!G$51</f>
        <v>26052.648000000005</v>
      </c>
      <c r="L344" s="201">
        <f>Model!H$51</f>
        <v>27478.056499999995</v>
      </c>
      <c r="M344" s="201">
        <f>Model!I$51</f>
        <v>28903.236999999997</v>
      </c>
      <c r="N344" s="201">
        <f>Model!J$51</f>
        <v>29853.18</v>
      </c>
      <c r="O344" s="201">
        <f>Model!K$51</f>
        <v>0</v>
      </c>
      <c r="P344" s="201">
        <f>Model!L$51</f>
        <v>0</v>
      </c>
      <c r="Q344" s="201">
        <f>Model!M$51</f>
        <v>0</v>
      </c>
      <c r="R344" s="201">
        <f>Model!N$51</f>
        <v>0</v>
      </c>
      <c r="S344" s="201">
        <f>Model!R$51</f>
        <v>25000</v>
      </c>
      <c r="T344" s="204" t="str">
        <f t="shared" si="63"/>
        <v xml:space="preserve">  </v>
      </c>
      <c r="U344" s="204" t="str">
        <f t="shared" si="64"/>
        <v xml:space="preserve">  </v>
      </c>
      <c r="V344" s="204" t="str">
        <f t="shared" si="65"/>
        <v xml:space="preserve">  </v>
      </c>
      <c r="W344" s="204" t="str">
        <f t="shared" si="63"/>
        <v xml:space="preserve">  </v>
      </c>
      <c r="X344" s="204" t="str">
        <f t="shared" si="63"/>
        <v xml:space="preserve">  </v>
      </c>
      <c r="Y344" s="204" t="str">
        <f t="shared" si="63"/>
        <v xml:space="preserve">  </v>
      </c>
      <c r="Z344" s="204" t="str">
        <f t="shared" si="66"/>
        <v xml:space="preserve">  </v>
      </c>
      <c r="AA344" s="204" t="str">
        <f t="shared" si="66"/>
        <v xml:space="preserve">  </v>
      </c>
      <c r="AB344" s="204" t="str">
        <f t="shared" si="66"/>
        <v xml:space="preserve">  </v>
      </c>
      <c r="AC344" s="204" t="str">
        <f t="shared" si="67"/>
        <v xml:space="preserve">  </v>
      </c>
    </row>
    <row r="345" spans="1:29" x14ac:dyDescent="0.3">
      <c r="A345" s="202">
        <v>41618</v>
      </c>
      <c r="B345" s="203">
        <f t="shared" si="58"/>
        <v>12</v>
      </c>
      <c r="C345" s="203">
        <f t="shared" si="59"/>
        <v>1</v>
      </c>
      <c r="D345" s="201">
        <f t="shared" si="60"/>
        <v>7.0378870967741936</v>
      </c>
      <c r="E345" s="201">
        <f t="shared" si="61"/>
        <v>9.342161290322581</v>
      </c>
      <c r="F345" s="201">
        <f t="shared" si="62"/>
        <v>4.8913966666666662</v>
      </c>
      <c r="G345" s="201">
        <f>SUM(D$2:D345)</f>
        <v>29996.244370967768</v>
      </c>
      <c r="H345" s="201">
        <f>SUM(E$2:E345)</f>
        <v>40320.477112903282</v>
      </c>
      <c r="I345" s="201">
        <f>SUM(F$2:F345)</f>
        <v>14606.277316989253</v>
      </c>
      <c r="J345" s="201">
        <f>Model!F$51</f>
        <v>23678.322499999998</v>
      </c>
      <c r="K345" s="201">
        <f>Model!G$51</f>
        <v>26052.648000000005</v>
      </c>
      <c r="L345" s="201">
        <f>Model!H$51</f>
        <v>27478.056499999995</v>
      </c>
      <c r="M345" s="201">
        <f>Model!I$51</f>
        <v>28903.236999999997</v>
      </c>
      <c r="N345" s="201">
        <f>Model!J$51</f>
        <v>29853.18</v>
      </c>
      <c r="O345" s="201">
        <f>Model!K$51</f>
        <v>0</v>
      </c>
      <c r="P345" s="201">
        <f>Model!L$51</f>
        <v>0</v>
      </c>
      <c r="Q345" s="201">
        <f>Model!M$51</f>
        <v>0</v>
      </c>
      <c r="R345" s="201">
        <f>Model!N$51</f>
        <v>0</v>
      </c>
      <c r="S345" s="201">
        <f>Model!R$51</f>
        <v>25000</v>
      </c>
      <c r="T345" s="204" t="str">
        <f t="shared" si="63"/>
        <v xml:space="preserve">  </v>
      </c>
      <c r="U345" s="204" t="str">
        <f t="shared" si="64"/>
        <v xml:space="preserve">  </v>
      </c>
      <c r="V345" s="204" t="str">
        <f t="shared" si="65"/>
        <v xml:space="preserve">  </v>
      </c>
      <c r="W345" s="204" t="str">
        <f t="shared" si="63"/>
        <v xml:space="preserve">  </v>
      </c>
      <c r="X345" s="204" t="str">
        <f t="shared" si="63"/>
        <v xml:space="preserve">  </v>
      </c>
      <c r="Y345" s="204" t="str">
        <f t="shared" si="63"/>
        <v xml:space="preserve">  </v>
      </c>
      <c r="Z345" s="204" t="str">
        <f t="shared" si="66"/>
        <v xml:space="preserve">  </v>
      </c>
      <c r="AA345" s="204" t="str">
        <f t="shared" si="66"/>
        <v xml:space="preserve">  </v>
      </c>
      <c r="AB345" s="204" t="str">
        <f t="shared" si="66"/>
        <v xml:space="preserve">  </v>
      </c>
      <c r="AC345" s="204" t="str">
        <f t="shared" si="67"/>
        <v xml:space="preserve">  </v>
      </c>
    </row>
    <row r="346" spans="1:29" x14ac:dyDescent="0.3">
      <c r="A346" s="202">
        <v>41619</v>
      </c>
      <c r="B346" s="203">
        <f t="shared" si="58"/>
        <v>12</v>
      </c>
      <c r="C346" s="203">
        <f t="shared" si="59"/>
        <v>1</v>
      </c>
      <c r="D346" s="201">
        <f t="shared" si="60"/>
        <v>7.0378870967741936</v>
      </c>
      <c r="E346" s="201">
        <f t="shared" si="61"/>
        <v>9.342161290322581</v>
      </c>
      <c r="F346" s="201">
        <f t="shared" si="62"/>
        <v>4.8913966666666662</v>
      </c>
      <c r="G346" s="201">
        <f>SUM(D$2:D346)</f>
        <v>30003.282258064541</v>
      </c>
      <c r="H346" s="201">
        <f>SUM(E$2:E346)</f>
        <v>40329.819274193607</v>
      </c>
      <c r="I346" s="201">
        <f>SUM(F$2:F346)</f>
        <v>14611.168713655919</v>
      </c>
      <c r="J346" s="201">
        <f>Model!F$51</f>
        <v>23678.322499999998</v>
      </c>
      <c r="K346" s="201">
        <f>Model!G$51</f>
        <v>26052.648000000005</v>
      </c>
      <c r="L346" s="201">
        <f>Model!H$51</f>
        <v>27478.056499999995</v>
      </c>
      <c r="M346" s="201">
        <f>Model!I$51</f>
        <v>28903.236999999997</v>
      </c>
      <c r="N346" s="201">
        <f>Model!J$51</f>
        <v>29853.18</v>
      </c>
      <c r="O346" s="201">
        <f>Model!K$51</f>
        <v>0</v>
      </c>
      <c r="P346" s="201">
        <f>Model!L$51</f>
        <v>0</v>
      </c>
      <c r="Q346" s="201">
        <f>Model!M$51</f>
        <v>0</v>
      </c>
      <c r="R346" s="201">
        <f>Model!N$51</f>
        <v>0</v>
      </c>
      <c r="S346" s="201">
        <f>Model!R$51</f>
        <v>25000</v>
      </c>
      <c r="T346" s="204" t="str">
        <f t="shared" si="63"/>
        <v xml:space="preserve">  </v>
      </c>
      <c r="U346" s="204" t="str">
        <f t="shared" si="64"/>
        <v xml:space="preserve">  </v>
      </c>
      <c r="V346" s="204" t="str">
        <f t="shared" si="65"/>
        <v xml:space="preserve">  </v>
      </c>
      <c r="W346" s="204" t="str">
        <f t="shared" si="63"/>
        <v xml:space="preserve">  </v>
      </c>
      <c r="X346" s="204" t="str">
        <f t="shared" si="63"/>
        <v xml:space="preserve">  </v>
      </c>
      <c r="Y346" s="204" t="str">
        <f t="shared" si="63"/>
        <v xml:space="preserve">  </v>
      </c>
      <c r="Z346" s="204" t="str">
        <f t="shared" si="66"/>
        <v xml:space="preserve">  </v>
      </c>
      <c r="AA346" s="204" t="str">
        <f t="shared" si="66"/>
        <v xml:space="preserve">  </v>
      </c>
      <c r="AB346" s="204" t="str">
        <f t="shared" si="66"/>
        <v xml:space="preserve">  </v>
      </c>
      <c r="AC346" s="204" t="str">
        <f t="shared" si="67"/>
        <v xml:space="preserve">  </v>
      </c>
    </row>
    <row r="347" spans="1:29" x14ac:dyDescent="0.3">
      <c r="A347" s="202">
        <v>41620</v>
      </c>
      <c r="B347" s="203">
        <f t="shared" si="58"/>
        <v>12</v>
      </c>
      <c r="C347" s="203">
        <f t="shared" si="59"/>
        <v>1</v>
      </c>
      <c r="D347" s="201">
        <f t="shared" si="60"/>
        <v>7.0378870967741936</v>
      </c>
      <c r="E347" s="201">
        <f t="shared" si="61"/>
        <v>9.342161290322581</v>
      </c>
      <c r="F347" s="201">
        <f t="shared" si="62"/>
        <v>4.8913966666666662</v>
      </c>
      <c r="G347" s="201">
        <f>SUM(D$2:D347)</f>
        <v>30010.320145161313</v>
      </c>
      <c r="H347" s="201">
        <f>SUM(E$2:E347)</f>
        <v>40339.161435483933</v>
      </c>
      <c r="I347" s="201">
        <f>SUM(F$2:F347)</f>
        <v>14616.060110322585</v>
      </c>
      <c r="J347" s="201">
        <f>Model!F$51</f>
        <v>23678.322499999998</v>
      </c>
      <c r="K347" s="201">
        <f>Model!G$51</f>
        <v>26052.648000000005</v>
      </c>
      <c r="L347" s="201">
        <f>Model!H$51</f>
        <v>27478.056499999995</v>
      </c>
      <c r="M347" s="201">
        <f>Model!I$51</f>
        <v>28903.236999999997</v>
      </c>
      <c r="N347" s="201">
        <f>Model!J$51</f>
        <v>29853.18</v>
      </c>
      <c r="O347" s="201">
        <f>Model!K$51</f>
        <v>0</v>
      </c>
      <c r="P347" s="201">
        <f>Model!L$51</f>
        <v>0</v>
      </c>
      <c r="Q347" s="201">
        <f>Model!M$51</f>
        <v>0</v>
      </c>
      <c r="R347" s="201">
        <f>Model!N$51</f>
        <v>0</v>
      </c>
      <c r="S347" s="201">
        <f>Model!R$51</f>
        <v>25000</v>
      </c>
      <c r="T347" s="204" t="str">
        <f t="shared" si="63"/>
        <v xml:space="preserve">  </v>
      </c>
      <c r="U347" s="204" t="str">
        <f t="shared" si="64"/>
        <v xml:space="preserve">  </v>
      </c>
      <c r="V347" s="204" t="str">
        <f t="shared" si="65"/>
        <v xml:space="preserve">  </v>
      </c>
      <c r="W347" s="204" t="str">
        <f t="shared" si="63"/>
        <v xml:space="preserve">  </v>
      </c>
      <c r="X347" s="204" t="str">
        <f t="shared" si="63"/>
        <v xml:space="preserve">  </v>
      </c>
      <c r="Y347" s="204" t="str">
        <f t="shared" si="63"/>
        <v xml:space="preserve">  </v>
      </c>
      <c r="Z347" s="204" t="str">
        <f t="shared" si="66"/>
        <v xml:space="preserve">  </v>
      </c>
      <c r="AA347" s="204" t="str">
        <f t="shared" si="66"/>
        <v xml:space="preserve">  </v>
      </c>
      <c r="AB347" s="204" t="str">
        <f t="shared" si="66"/>
        <v xml:space="preserve">  </v>
      </c>
      <c r="AC347" s="204" t="str">
        <f t="shared" si="67"/>
        <v xml:space="preserve">  </v>
      </c>
    </row>
    <row r="348" spans="1:29" x14ac:dyDescent="0.3">
      <c r="A348" s="202">
        <v>41621</v>
      </c>
      <c r="B348" s="203">
        <f t="shared" si="58"/>
        <v>12</v>
      </c>
      <c r="C348" s="203">
        <f t="shared" si="59"/>
        <v>1</v>
      </c>
      <c r="D348" s="201">
        <f t="shared" si="60"/>
        <v>7.0378870967741936</v>
      </c>
      <c r="E348" s="201">
        <f t="shared" si="61"/>
        <v>9.342161290322581</v>
      </c>
      <c r="F348" s="201">
        <f t="shared" si="62"/>
        <v>4.8913966666666662</v>
      </c>
      <c r="G348" s="201">
        <f>SUM(D$2:D348)</f>
        <v>30017.358032258086</v>
      </c>
      <c r="H348" s="201">
        <f>SUM(E$2:E348)</f>
        <v>40348.503596774259</v>
      </c>
      <c r="I348" s="201">
        <f>SUM(F$2:F348)</f>
        <v>14620.951506989251</v>
      </c>
      <c r="J348" s="201">
        <f>Model!F$51</f>
        <v>23678.322499999998</v>
      </c>
      <c r="K348" s="201">
        <f>Model!G$51</f>
        <v>26052.648000000005</v>
      </c>
      <c r="L348" s="201">
        <f>Model!H$51</f>
        <v>27478.056499999995</v>
      </c>
      <c r="M348" s="201">
        <f>Model!I$51</f>
        <v>28903.236999999997</v>
      </c>
      <c r="N348" s="201">
        <f>Model!J$51</f>
        <v>29853.18</v>
      </c>
      <c r="O348" s="201">
        <f>Model!K$51</f>
        <v>0</v>
      </c>
      <c r="P348" s="201">
        <f>Model!L$51</f>
        <v>0</v>
      </c>
      <c r="Q348" s="201">
        <f>Model!M$51</f>
        <v>0</v>
      </c>
      <c r="R348" s="201">
        <f>Model!N$51</f>
        <v>0</v>
      </c>
      <c r="S348" s="201">
        <f>Model!R$51</f>
        <v>25000</v>
      </c>
      <c r="T348" s="204" t="str">
        <f t="shared" si="63"/>
        <v xml:space="preserve">  </v>
      </c>
      <c r="U348" s="204" t="str">
        <f t="shared" si="64"/>
        <v xml:space="preserve">  </v>
      </c>
      <c r="V348" s="204" t="str">
        <f t="shared" si="65"/>
        <v xml:space="preserve">  </v>
      </c>
      <c r="W348" s="204" t="str">
        <f t="shared" si="63"/>
        <v xml:space="preserve">  </v>
      </c>
      <c r="X348" s="204" t="str">
        <f t="shared" si="63"/>
        <v xml:space="preserve">  </v>
      </c>
      <c r="Y348" s="204" t="str">
        <f t="shared" si="63"/>
        <v xml:space="preserve">  </v>
      </c>
      <c r="Z348" s="204" t="str">
        <f t="shared" si="66"/>
        <v xml:space="preserve">  </v>
      </c>
      <c r="AA348" s="204" t="str">
        <f t="shared" si="66"/>
        <v xml:space="preserve">  </v>
      </c>
      <c r="AB348" s="204" t="str">
        <f t="shared" si="66"/>
        <v xml:space="preserve">  </v>
      </c>
      <c r="AC348" s="204" t="str">
        <f t="shared" si="67"/>
        <v xml:space="preserve">  </v>
      </c>
    </row>
    <row r="349" spans="1:29" x14ac:dyDescent="0.3">
      <c r="A349" s="202">
        <v>41622</v>
      </c>
      <c r="B349" s="203">
        <f t="shared" si="58"/>
        <v>12</v>
      </c>
      <c r="C349" s="203">
        <f t="shared" si="59"/>
        <v>1</v>
      </c>
      <c r="D349" s="201">
        <f t="shared" si="60"/>
        <v>7.0378870967741936</v>
      </c>
      <c r="E349" s="201">
        <f t="shared" si="61"/>
        <v>9.342161290322581</v>
      </c>
      <c r="F349" s="201">
        <f t="shared" si="62"/>
        <v>4.8913966666666662</v>
      </c>
      <c r="G349" s="201">
        <f>SUM(D$2:D349)</f>
        <v>30024.395919354858</v>
      </c>
      <c r="H349" s="201">
        <f>SUM(E$2:E349)</f>
        <v>40357.845758064585</v>
      </c>
      <c r="I349" s="201">
        <f>SUM(F$2:F349)</f>
        <v>14625.842903655917</v>
      </c>
      <c r="J349" s="201">
        <f>Model!F$51</f>
        <v>23678.322499999998</v>
      </c>
      <c r="K349" s="201">
        <f>Model!G$51</f>
        <v>26052.648000000005</v>
      </c>
      <c r="L349" s="201">
        <f>Model!H$51</f>
        <v>27478.056499999995</v>
      </c>
      <c r="M349" s="201">
        <f>Model!I$51</f>
        <v>28903.236999999997</v>
      </c>
      <c r="N349" s="201">
        <f>Model!J$51</f>
        <v>29853.18</v>
      </c>
      <c r="O349" s="201">
        <f>Model!K$51</f>
        <v>0</v>
      </c>
      <c r="P349" s="201">
        <f>Model!L$51</f>
        <v>0</v>
      </c>
      <c r="Q349" s="201">
        <f>Model!M$51</f>
        <v>0</v>
      </c>
      <c r="R349" s="201">
        <f>Model!N$51</f>
        <v>0</v>
      </c>
      <c r="S349" s="201">
        <f>Model!R$51</f>
        <v>25000</v>
      </c>
      <c r="T349" s="204" t="str">
        <f t="shared" si="63"/>
        <v xml:space="preserve">  </v>
      </c>
      <c r="U349" s="204" t="str">
        <f t="shared" si="64"/>
        <v xml:space="preserve">  </v>
      </c>
      <c r="V349" s="204" t="str">
        <f t="shared" si="65"/>
        <v xml:space="preserve">  </v>
      </c>
      <c r="W349" s="204" t="str">
        <f t="shared" si="63"/>
        <v xml:space="preserve">  </v>
      </c>
      <c r="X349" s="204" t="str">
        <f t="shared" si="63"/>
        <v xml:space="preserve">  </v>
      </c>
      <c r="Y349" s="204" t="str">
        <f t="shared" si="63"/>
        <v xml:space="preserve">  </v>
      </c>
      <c r="Z349" s="204" t="str">
        <f t="shared" si="66"/>
        <v xml:space="preserve">  </v>
      </c>
      <c r="AA349" s="204" t="str">
        <f t="shared" si="66"/>
        <v xml:space="preserve">  </v>
      </c>
      <c r="AB349" s="204" t="str">
        <f t="shared" si="66"/>
        <v xml:space="preserve">  </v>
      </c>
      <c r="AC349" s="204" t="str">
        <f t="shared" si="67"/>
        <v xml:space="preserve">  </v>
      </c>
    </row>
    <row r="350" spans="1:29" x14ac:dyDescent="0.3">
      <c r="A350" s="202">
        <v>41623</v>
      </c>
      <c r="B350" s="203">
        <f t="shared" si="58"/>
        <v>12</v>
      </c>
      <c r="C350" s="203">
        <f t="shared" si="59"/>
        <v>1</v>
      </c>
      <c r="D350" s="201">
        <f t="shared" si="60"/>
        <v>7.0378870967741936</v>
      </c>
      <c r="E350" s="201">
        <f t="shared" si="61"/>
        <v>9.342161290322581</v>
      </c>
      <c r="F350" s="201">
        <f t="shared" si="62"/>
        <v>4.8913966666666662</v>
      </c>
      <c r="G350" s="201">
        <f>SUM(D$2:D350)</f>
        <v>30031.433806451631</v>
      </c>
      <c r="H350" s="201">
        <f>SUM(E$2:E350)</f>
        <v>40367.18791935491</v>
      </c>
      <c r="I350" s="201">
        <f>SUM(F$2:F350)</f>
        <v>14630.734300322583</v>
      </c>
      <c r="J350" s="201">
        <f>Model!F$51</f>
        <v>23678.322499999998</v>
      </c>
      <c r="K350" s="201">
        <f>Model!G$51</f>
        <v>26052.648000000005</v>
      </c>
      <c r="L350" s="201">
        <f>Model!H$51</f>
        <v>27478.056499999995</v>
      </c>
      <c r="M350" s="201">
        <f>Model!I$51</f>
        <v>28903.236999999997</v>
      </c>
      <c r="N350" s="201">
        <f>Model!J$51</f>
        <v>29853.18</v>
      </c>
      <c r="O350" s="201">
        <f>Model!K$51</f>
        <v>0</v>
      </c>
      <c r="P350" s="201">
        <f>Model!L$51</f>
        <v>0</v>
      </c>
      <c r="Q350" s="201">
        <f>Model!M$51</f>
        <v>0</v>
      </c>
      <c r="R350" s="201">
        <f>Model!N$51</f>
        <v>0</v>
      </c>
      <c r="S350" s="201">
        <f>Model!R$51</f>
        <v>25000</v>
      </c>
      <c r="T350" s="204" t="str">
        <f t="shared" si="63"/>
        <v xml:space="preserve">  </v>
      </c>
      <c r="U350" s="204" t="str">
        <f t="shared" si="64"/>
        <v xml:space="preserve">  </v>
      </c>
      <c r="V350" s="204" t="str">
        <f t="shared" si="65"/>
        <v xml:space="preserve">  </v>
      </c>
      <c r="W350" s="204" t="str">
        <f t="shared" si="63"/>
        <v xml:space="preserve">  </v>
      </c>
      <c r="X350" s="204" t="str">
        <f t="shared" si="63"/>
        <v xml:space="preserve">  </v>
      </c>
      <c r="Y350" s="204" t="str">
        <f t="shared" si="63"/>
        <v xml:space="preserve">  </v>
      </c>
      <c r="Z350" s="204" t="str">
        <f t="shared" si="66"/>
        <v xml:space="preserve">  </v>
      </c>
      <c r="AA350" s="204" t="str">
        <f t="shared" si="66"/>
        <v xml:space="preserve">  </v>
      </c>
      <c r="AB350" s="204" t="str">
        <f t="shared" si="66"/>
        <v xml:space="preserve">  </v>
      </c>
      <c r="AC350" s="204" t="str">
        <f t="shared" si="67"/>
        <v xml:space="preserve">  </v>
      </c>
    </row>
    <row r="351" spans="1:29" x14ac:dyDescent="0.3">
      <c r="A351" s="202">
        <v>41624</v>
      </c>
      <c r="B351" s="203">
        <f t="shared" si="58"/>
        <v>12</v>
      </c>
      <c r="C351" s="203">
        <f t="shared" si="59"/>
        <v>1</v>
      </c>
      <c r="D351" s="201">
        <f t="shared" si="60"/>
        <v>7.0378870967741936</v>
      </c>
      <c r="E351" s="201">
        <f t="shared" si="61"/>
        <v>9.342161290322581</v>
      </c>
      <c r="F351" s="201">
        <f t="shared" si="62"/>
        <v>4.8913966666666662</v>
      </c>
      <c r="G351" s="201">
        <f>SUM(D$2:D351)</f>
        <v>30038.471693548403</v>
      </c>
      <c r="H351" s="201">
        <f>SUM(E$2:E351)</f>
        <v>40376.530080645236</v>
      </c>
      <c r="I351" s="201">
        <f>SUM(F$2:F351)</f>
        <v>14635.625696989249</v>
      </c>
      <c r="J351" s="201">
        <f>Model!F$51</f>
        <v>23678.322499999998</v>
      </c>
      <c r="K351" s="201">
        <f>Model!G$51</f>
        <v>26052.648000000005</v>
      </c>
      <c r="L351" s="201">
        <f>Model!H$51</f>
        <v>27478.056499999995</v>
      </c>
      <c r="M351" s="201">
        <f>Model!I$51</f>
        <v>28903.236999999997</v>
      </c>
      <c r="N351" s="201">
        <f>Model!J$51</f>
        <v>29853.18</v>
      </c>
      <c r="O351" s="201">
        <f>Model!K$51</f>
        <v>0</v>
      </c>
      <c r="P351" s="201">
        <f>Model!L$51</f>
        <v>0</v>
      </c>
      <c r="Q351" s="201">
        <f>Model!M$51</f>
        <v>0</v>
      </c>
      <c r="R351" s="201">
        <f>Model!N$51</f>
        <v>0</v>
      </c>
      <c r="S351" s="201">
        <f>Model!R$51</f>
        <v>25000</v>
      </c>
      <c r="T351" s="204" t="str">
        <f t="shared" si="63"/>
        <v xml:space="preserve">  </v>
      </c>
      <c r="U351" s="204" t="str">
        <f t="shared" si="64"/>
        <v xml:space="preserve">  </v>
      </c>
      <c r="V351" s="204" t="str">
        <f t="shared" si="65"/>
        <v xml:space="preserve">  </v>
      </c>
      <c r="W351" s="204" t="str">
        <f t="shared" si="63"/>
        <v xml:space="preserve">  </v>
      </c>
      <c r="X351" s="204" t="str">
        <f t="shared" si="63"/>
        <v xml:space="preserve">  </v>
      </c>
      <c r="Y351" s="204" t="str">
        <f t="shared" si="63"/>
        <v xml:space="preserve">  </v>
      </c>
      <c r="Z351" s="204" t="str">
        <f t="shared" si="66"/>
        <v xml:space="preserve">  </v>
      </c>
      <c r="AA351" s="204" t="str">
        <f t="shared" si="66"/>
        <v xml:space="preserve">  </v>
      </c>
      <c r="AB351" s="204" t="str">
        <f t="shared" si="66"/>
        <v xml:space="preserve">  </v>
      </c>
      <c r="AC351" s="204" t="str">
        <f t="shared" si="67"/>
        <v xml:space="preserve">  </v>
      </c>
    </row>
    <row r="352" spans="1:29" x14ac:dyDescent="0.3">
      <c r="A352" s="202">
        <v>41625</v>
      </c>
      <c r="B352" s="203">
        <f t="shared" si="58"/>
        <v>12</v>
      </c>
      <c r="C352" s="203">
        <f t="shared" si="59"/>
        <v>1</v>
      </c>
      <c r="D352" s="201">
        <f t="shared" si="60"/>
        <v>7.0378870967741936</v>
      </c>
      <c r="E352" s="201">
        <f t="shared" si="61"/>
        <v>9.342161290322581</v>
      </c>
      <c r="F352" s="201">
        <f t="shared" si="62"/>
        <v>4.8913966666666662</v>
      </c>
      <c r="G352" s="201">
        <f>SUM(D$2:D352)</f>
        <v>30045.509580645175</v>
      </c>
      <c r="H352" s="201">
        <f>SUM(E$2:E352)</f>
        <v>40385.872241935562</v>
      </c>
      <c r="I352" s="201">
        <f>SUM(F$2:F352)</f>
        <v>14640.517093655915</v>
      </c>
      <c r="J352" s="201">
        <f>Model!F$51</f>
        <v>23678.322499999998</v>
      </c>
      <c r="K352" s="201">
        <f>Model!G$51</f>
        <v>26052.648000000005</v>
      </c>
      <c r="L352" s="201">
        <f>Model!H$51</f>
        <v>27478.056499999995</v>
      </c>
      <c r="M352" s="201">
        <f>Model!I$51</f>
        <v>28903.236999999997</v>
      </c>
      <c r="N352" s="201">
        <f>Model!J$51</f>
        <v>29853.18</v>
      </c>
      <c r="O352" s="201">
        <f>Model!K$51</f>
        <v>0</v>
      </c>
      <c r="P352" s="201">
        <f>Model!L$51</f>
        <v>0</v>
      </c>
      <c r="Q352" s="201">
        <f>Model!M$51</f>
        <v>0</v>
      </c>
      <c r="R352" s="201">
        <f>Model!N$51</f>
        <v>0</v>
      </c>
      <c r="S352" s="201">
        <f>Model!R$51</f>
        <v>25000</v>
      </c>
      <c r="T352" s="204" t="str">
        <f t="shared" si="63"/>
        <v xml:space="preserve">  </v>
      </c>
      <c r="U352" s="204" t="str">
        <f t="shared" si="64"/>
        <v xml:space="preserve">  </v>
      </c>
      <c r="V352" s="204" t="str">
        <f t="shared" si="65"/>
        <v xml:space="preserve">  </v>
      </c>
      <c r="W352" s="204" t="str">
        <f t="shared" si="63"/>
        <v xml:space="preserve">  </v>
      </c>
      <c r="X352" s="204" t="str">
        <f t="shared" si="63"/>
        <v xml:space="preserve">  </v>
      </c>
      <c r="Y352" s="204" t="str">
        <f t="shared" si="63"/>
        <v xml:space="preserve">  </v>
      </c>
      <c r="Z352" s="204" t="str">
        <f t="shared" si="66"/>
        <v xml:space="preserve">  </v>
      </c>
      <c r="AA352" s="204" t="str">
        <f t="shared" si="66"/>
        <v xml:space="preserve">  </v>
      </c>
      <c r="AB352" s="204" t="str">
        <f t="shared" si="66"/>
        <v xml:space="preserve">  </v>
      </c>
      <c r="AC352" s="204" t="str">
        <f t="shared" si="67"/>
        <v xml:space="preserve">  </v>
      </c>
    </row>
    <row r="353" spans="1:29" x14ac:dyDescent="0.3">
      <c r="A353" s="202">
        <v>41626</v>
      </c>
      <c r="B353" s="203">
        <f t="shared" si="58"/>
        <v>12</v>
      </c>
      <c r="C353" s="203">
        <f t="shared" si="59"/>
        <v>1</v>
      </c>
      <c r="D353" s="201">
        <f t="shared" si="60"/>
        <v>7.0378870967741936</v>
      </c>
      <c r="E353" s="201">
        <f t="shared" si="61"/>
        <v>9.342161290322581</v>
      </c>
      <c r="F353" s="201">
        <f t="shared" si="62"/>
        <v>4.8913966666666662</v>
      </c>
      <c r="G353" s="201">
        <f>SUM(D$2:D353)</f>
        <v>30052.547467741948</v>
      </c>
      <c r="H353" s="201">
        <f>SUM(E$2:E353)</f>
        <v>40395.214403225888</v>
      </c>
      <c r="I353" s="201">
        <f>SUM(F$2:F353)</f>
        <v>14645.408490322581</v>
      </c>
      <c r="J353" s="201">
        <f>Model!F$51</f>
        <v>23678.322499999998</v>
      </c>
      <c r="K353" s="201">
        <f>Model!G$51</f>
        <v>26052.648000000005</v>
      </c>
      <c r="L353" s="201">
        <f>Model!H$51</f>
        <v>27478.056499999995</v>
      </c>
      <c r="M353" s="201">
        <f>Model!I$51</f>
        <v>28903.236999999997</v>
      </c>
      <c r="N353" s="201">
        <f>Model!J$51</f>
        <v>29853.18</v>
      </c>
      <c r="O353" s="201">
        <f>Model!K$51</f>
        <v>0</v>
      </c>
      <c r="P353" s="201">
        <f>Model!L$51</f>
        <v>0</v>
      </c>
      <c r="Q353" s="201">
        <f>Model!M$51</f>
        <v>0</v>
      </c>
      <c r="R353" s="201">
        <f>Model!N$51</f>
        <v>0</v>
      </c>
      <c r="S353" s="201">
        <f>Model!R$51</f>
        <v>25000</v>
      </c>
      <c r="T353" s="204" t="str">
        <f t="shared" si="63"/>
        <v xml:space="preserve">  </v>
      </c>
      <c r="U353" s="204" t="str">
        <f t="shared" si="64"/>
        <v xml:space="preserve">  </v>
      </c>
      <c r="V353" s="204" t="str">
        <f t="shared" si="65"/>
        <v xml:space="preserve">  </v>
      </c>
      <c r="W353" s="204" t="str">
        <f t="shared" si="63"/>
        <v xml:space="preserve">  </v>
      </c>
      <c r="X353" s="204" t="str">
        <f t="shared" si="63"/>
        <v xml:space="preserve">  </v>
      </c>
      <c r="Y353" s="204" t="str">
        <f t="shared" si="63"/>
        <v xml:space="preserve">  </v>
      </c>
      <c r="Z353" s="204" t="str">
        <f t="shared" si="66"/>
        <v xml:space="preserve">  </v>
      </c>
      <c r="AA353" s="204" t="str">
        <f t="shared" si="66"/>
        <v xml:space="preserve">  </v>
      </c>
      <c r="AB353" s="204" t="str">
        <f t="shared" si="66"/>
        <v xml:space="preserve">  </v>
      </c>
      <c r="AC353" s="204" t="str">
        <f t="shared" si="67"/>
        <v xml:space="preserve">  </v>
      </c>
    </row>
    <row r="354" spans="1:29" x14ac:dyDescent="0.3">
      <c r="A354" s="202">
        <v>41627</v>
      </c>
      <c r="B354" s="203">
        <f t="shared" si="58"/>
        <v>12</v>
      </c>
      <c r="C354" s="203">
        <f t="shared" si="59"/>
        <v>1</v>
      </c>
      <c r="D354" s="201">
        <f t="shared" si="60"/>
        <v>7.0378870967741936</v>
      </c>
      <c r="E354" s="201">
        <f t="shared" si="61"/>
        <v>9.342161290322581</v>
      </c>
      <c r="F354" s="201">
        <f t="shared" si="62"/>
        <v>4.8913966666666662</v>
      </c>
      <c r="G354" s="201">
        <f>SUM(D$2:D354)</f>
        <v>30059.58535483872</v>
      </c>
      <c r="H354" s="201">
        <f>SUM(E$2:E354)</f>
        <v>40404.556564516213</v>
      </c>
      <c r="I354" s="201">
        <f>SUM(F$2:F354)</f>
        <v>14650.299886989247</v>
      </c>
      <c r="J354" s="201">
        <f>Model!F$51</f>
        <v>23678.322499999998</v>
      </c>
      <c r="K354" s="201">
        <f>Model!G$51</f>
        <v>26052.648000000005</v>
      </c>
      <c r="L354" s="201">
        <f>Model!H$51</f>
        <v>27478.056499999995</v>
      </c>
      <c r="M354" s="201">
        <f>Model!I$51</f>
        <v>28903.236999999997</v>
      </c>
      <c r="N354" s="201">
        <f>Model!J$51</f>
        <v>29853.18</v>
      </c>
      <c r="O354" s="201">
        <f>Model!K$51</f>
        <v>0</v>
      </c>
      <c r="P354" s="201">
        <f>Model!L$51</f>
        <v>0</v>
      </c>
      <c r="Q354" s="201">
        <f>Model!M$51</f>
        <v>0</v>
      </c>
      <c r="R354" s="201">
        <f>Model!N$51</f>
        <v>0</v>
      </c>
      <c r="S354" s="201">
        <f>Model!R$51</f>
        <v>25000</v>
      </c>
      <c r="T354" s="204" t="str">
        <f t="shared" si="63"/>
        <v xml:space="preserve">  </v>
      </c>
      <c r="U354" s="204" t="str">
        <f t="shared" si="64"/>
        <v xml:space="preserve">  </v>
      </c>
      <c r="V354" s="204" t="str">
        <f t="shared" si="65"/>
        <v xml:space="preserve">  </v>
      </c>
      <c r="W354" s="204" t="str">
        <f t="shared" si="63"/>
        <v xml:space="preserve">  </v>
      </c>
      <c r="X354" s="204" t="str">
        <f t="shared" si="63"/>
        <v xml:space="preserve">  </v>
      </c>
      <c r="Y354" s="204" t="str">
        <f t="shared" si="63"/>
        <v xml:space="preserve">  </v>
      </c>
      <c r="Z354" s="204" t="str">
        <f t="shared" si="66"/>
        <v xml:space="preserve">  </v>
      </c>
      <c r="AA354" s="204" t="str">
        <f t="shared" si="66"/>
        <v xml:space="preserve">  </v>
      </c>
      <c r="AB354" s="204" t="str">
        <f t="shared" si="66"/>
        <v xml:space="preserve">  </v>
      </c>
      <c r="AC354" s="204" t="str">
        <f t="shared" si="67"/>
        <v xml:space="preserve">  </v>
      </c>
    </row>
    <row r="355" spans="1:29" x14ac:dyDescent="0.3">
      <c r="A355" s="202">
        <v>41628</v>
      </c>
      <c r="B355" s="203">
        <f t="shared" si="58"/>
        <v>12</v>
      </c>
      <c r="C355" s="203">
        <f t="shared" si="59"/>
        <v>1</v>
      </c>
      <c r="D355" s="201">
        <f t="shared" si="60"/>
        <v>7.0378870967741936</v>
      </c>
      <c r="E355" s="201">
        <f t="shared" si="61"/>
        <v>9.342161290322581</v>
      </c>
      <c r="F355" s="201">
        <f t="shared" si="62"/>
        <v>4.8913966666666662</v>
      </c>
      <c r="G355" s="201">
        <f>SUM(D$2:D355)</f>
        <v>30066.623241935493</v>
      </c>
      <c r="H355" s="201">
        <f>SUM(E$2:E355)</f>
        <v>40413.898725806539</v>
      </c>
      <c r="I355" s="201">
        <f>SUM(F$2:F355)</f>
        <v>14655.191283655913</v>
      </c>
      <c r="J355" s="201">
        <f>Model!F$51</f>
        <v>23678.322499999998</v>
      </c>
      <c r="K355" s="201">
        <f>Model!G$51</f>
        <v>26052.648000000005</v>
      </c>
      <c r="L355" s="201">
        <f>Model!H$51</f>
        <v>27478.056499999995</v>
      </c>
      <c r="M355" s="201">
        <f>Model!I$51</f>
        <v>28903.236999999997</v>
      </c>
      <c r="N355" s="201">
        <f>Model!J$51</f>
        <v>29853.18</v>
      </c>
      <c r="O355" s="201">
        <f>Model!K$51</f>
        <v>0</v>
      </c>
      <c r="P355" s="201">
        <f>Model!L$51</f>
        <v>0</v>
      </c>
      <c r="Q355" s="201">
        <f>Model!M$51</f>
        <v>0</v>
      </c>
      <c r="R355" s="201">
        <f>Model!N$51</f>
        <v>0</v>
      </c>
      <c r="S355" s="201">
        <f>Model!R$51</f>
        <v>25000</v>
      </c>
      <c r="T355" s="204" t="str">
        <f t="shared" si="63"/>
        <v xml:space="preserve">  </v>
      </c>
      <c r="U355" s="204" t="str">
        <f t="shared" si="64"/>
        <v xml:space="preserve">  </v>
      </c>
      <c r="V355" s="204" t="str">
        <f t="shared" si="65"/>
        <v xml:space="preserve">  </v>
      </c>
      <c r="W355" s="204" t="str">
        <f t="shared" si="63"/>
        <v xml:space="preserve">  </v>
      </c>
      <c r="X355" s="204" t="str">
        <f t="shared" si="63"/>
        <v xml:space="preserve">  </v>
      </c>
      <c r="Y355" s="204" t="str">
        <f t="shared" si="63"/>
        <v xml:space="preserve">  </v>
      </c>
      <c r="Z355" s="204" t="str">
        <f t="shared" si="66"/>
        <v xml:space="preserve">  </v>
      </c>
      <c r="AA355" s="204" t="str">
        <f t="shared" si="66"/>
        <v xml:space="preserve">  </v>
      </c>
      <c r="AB355" s="204" t="str">
        <f t="shared" si="66"/>
        <v xml:space="preserve">  </v>
      </c>
      <c r="AC355" s="204" t="str">
        <f t="shared" si="67"/>
        <v xml:space="preserve">  </v>
      </c>
    </row>
    <row r="356" spans="1:29" x14ac:dyDescent="0.3">
      <c r="A356" s="202">
        <v>41629</v>
      </c>
      <c r="B356" s="203">
        <f t="shared" si="58"/>
        <v>12</v>
      </c>
      <c r="C356" s="203">
        <f t="shared" si="59"/>
        <v>1</v>
      </c>
      <c r="D356" s="201">
        <f t="shared" si="60"/>
        <v>7.0378870967741936</v>
      </c>
      <c r="E356" s="201">
        <f t="shared" si="61"/>
        <v>9.342161290322581</v>
      </c>
      <c r="F356" s="201">
        <f t="shared" si="62"/>
        <v>4.8913966666666662</v>
      </c>
      <c r="G356" s="201">
        <f>SUM(D$2:D356)</f>
        <v>30073.661129032265</v>
      </c>
      <c r="H356" s="201">
        <f>SUM(E$2:E356)</f>
        <v>40423.240887096865</v>
      </c>
      <c r="I356" s="201">
        <f>SUM(F$2:F356)</f>
        <v>14660.082680322579</v>
      </c>
      <c r="J356" s="201">
        <f>Model!F$51</f>
        <v>23678.322499999998</v>
      </c>
      <c r="K356" s="201">
        <f>Model!G$51</f>
        <v>26052.648000000005</v>
      </c>
      <c r="L356" s="201">
        <f>Model!H$51</f>
        <v>27478.056499999995</v>
      </c>
      <c r="M356" s="201">
        <f>Model!I$51</f>
        <v>28903.236999999997</v>
      </c>
      <c r="N356" s="201">
        <f>Model!J$51</f>
        <v>29853.18</v>
      </c>
      <c r="O356" s="201">
        <f>Model!K$51</f>
        <v>0</v>
      </c>
      <c r="P356" s="201">
        <f>Model!L$51</f>
        <v>0</v>
      </c>
      <c r="Q356" s="201">
        <f>Model!M$51</f>
        <v>0</v>
      </c>
      <c r="R356" s="201">
        <f>Model!N$51</f>
        <v>0</v>
      </c>
      <c r="S356" s="201">
        <f>Model!R$51</f>
        <v>25000</v>
      </c>
      <c r="T356" s="204" t="str">
        <f t="shared" si="63"/>
        <v xml:space="preserve">  </v>
      </c>
      <c r="U356" s="204" t="str">
        <f t="shared" si="64"/>
        <v xml:space="preserve">  </v>
      </c>
      <c r="V356" s="204" t="str">
        <f t="shared" si="65"/>
        <v xml:space="preserve">  </v>
      </c>
      <c r="W356" s="204" t="str">
        <f t="shared" si="63"/>
        <v xml:space="preserve">  </v>
      </c>
      <c r="X356" s="204" t="str">
        <f t="shared" si="63"/>
        <v xml:space="preserve">  </v>
      </c>
      <c r="Y356" s="204" t="str">
        <f t="shared" si="63"/>
        <v xml:space="preserve">  </v>
      </c>
      <c r="Z356" s="204" t="str">
        <f t="shared" si="66"/>
        <v xml:space="preserve">  </v>
      </c>
      <c r="AA356" s="204" t="str">
        <f t="shared" si="66"/>
        <v xml:space="preserve">  </v>
      </c>
      <c r="AB356" s="204" t="str">
        <f t="shared" si="66"/>
        <v xml:space="preserve">  </v>
      </c>
      <c r="AC356" s="204" t="str">
        <f t="shared" si="67"/>
        <v xml:space="preserve">  </v>
      </c>
    </row>
    <row r="357" spans="1:29" x14ac:dyDescent="0.3">
      <c r="A357" s="202">
        <v>41630</v>
      </c>
      <c r="B357" s="203">
        <f t="shared" si="58"/>
        <v>12</v>
      </c>
      <c r="C357" s="203">
        <f t="shared" si="59"/>
        <v>1</v>
      </c>
      <c r="D357" s="201">
        <f t="shared" si="60"/>
        <v>7.0378870967741936</v>
      </c>
      <c r="E357" s="201">
        <f t="shared" si="61"/>
        <v>9.342161290322581</v>
      </c>
      <c r="F357" s="201">
        <f t="shared" si="62"/>
        <v>4.8913966666666662</v>
      </c>
      <c r="G357" s="201">
        <f>SUM(D$2:D357)</f>
        <v>30080.699016129038</v>
      </c>
      <c r="H357" s="201">
        <f>SUM(E$2:E357)</f>
        <v>40432.583048387191</v>
      </c>
      <c r="I357" s="201">
        <f>SUM(F$2:F357)</f>
        <v>14664.974076989245</v>
      </c>
      <c r="J357" s="201">
        <f>Model!F$51</f>
        <v>23678.322499999998</v>
      </c>
      <c r="K357" s="201">
        <f>Model!G$51</f>
        <v>26052.648000000005</v>
      </c>
      <c r="L357" s="201">
        <f>Model!H$51</f>
        <v>27478.056499999995</v>
      </c>
      <c r="M357" s="201">
        <f>Model!I$51</f>
        <v>28903.236999999997</v>
      </c>
      <c r="N357" s="201">
        <f>Model!J$51</f>
        <v>29853.18</v>
      </c>
      <c r="O357" s="201">
        <f>Model!K$51</f>
        <v>0</v>
      </c>
      <c r="P357" s="201">
        <f>Model!L$51</f>
        <v>0</v>
      </c>
      <c r="Q357" s="201">
        <f>Model!M$51</f>
        <v>0</v>
      </c>
      <c r="R357" s="201">
        <f>Model!N$51</f>
        <v>0</v>
      </c>
      <c r="S357" s="201">
        <f>Model!R$51</f>
        <v>25000</v>
      </c>
      <c r="T357" s="204" t="str">
        <f t="shared" si="63"/>
        <v xml:space="preserve">  </v>
      </c>
      <c r="U357" s="204" t="str">
        <f t="shared" si="64"/>
        <v xml:space="preserve">  </v>
      </c>
      <c r="V357" s="204" t="str">
        <f t="shared" si="65"/>
        <v xml:space="preserve">  </v>
      </c>
      <c r="W357" s="204" t="str">
        <f t="shared" si="63"/>
        <v xml:space="preserve">  </v>
      </c>
      <c r="X357" s="204" t="str">
        <f t="shared" si="63"/>
        <v xml:space="preserve">  </v>
      </c>
      <c r="Y357" s="204" t="str">
        <f t="shared" si="63"/>
        <v xml:space="preserve">  </v>
      </c>
      <c r="Z357" s="204" t="str">
        <f t="shared" si="66"/>
        <v xml:space="preserve">  </v>
      </c>
      <c r="AA357" s="204" t="str">
        <f t="shared" si="66"/>
        <v xml:space="preserve">  </v>
      </c>
      <c r="AB357" s="204" t="str">
        <f t="shared" si="66"/>
        <v xml:space="preserve">  </v>
      </c>
      <c r="AC357" s="204" t="str">
        <f t="shared" si="67"/>
        <v xml:space="preserve">  </v>
      </c>
    </row>
    <row r="358" spans="1:29" x14ac:dyDescent="0.3">
      <c r="A358" s="202">
        <v>41631</v>
      </c>
      <c r="B358" s="203">
        <f t="shared" si="58"/>
        <v>12</v>
      </c>
      <c r="C358" s="203">
        <f t="shared" si="59"/>
        <v>1</v>
      </c>
      <c r="D358" s="201">
        <f t="shared" si="60"/>
        <v>7.0378870967741936</v>
      </c>
      <c r="E358" s="201">
        <f t="shared" si="61"/>
        <v>9.342161290322581</v>
      </c>
      <c r="F358" s="201">
        <f t="shared" si="62"/>
        <v>4.8913966666666662</v>
      </c>
      <c r="G358" s="201">
        <f>SUM(D$2:D358)</f>
        <v>30087.73690322581</v>
      </c>
      <c r="H358" s="201">
        <f>SUM(E$2:E358)</f>
        <v>40441.925209677516</v>
      </c>
      <c r="I358" s="201">
        <f>SUM(F$2:F358)</f>
        <v>14669.865473655911</v>
      </c>
      <c r="J358" s="201">
        <f>Model!F$51</f>
        <v>23678.322499999998</v>
      </c>
      <c r="K358" s="201">
        <f>Model!G$51</f>
        <v>26052.648000000005</v>
      </c>
      <c r="L358" s="201">
        <f>Model!H$51</f>
        <v>27478.056499999995</v>
      </c>
      <c r="M358" s="201">
        <f>Model!I$51</f>
        <v>28903.236999999997</v>
      </c>
      <c r="N358" s="201">
        <f>Model!J$51</f>
        <v>29853.18</v>
      </c>
      <c r="O358" s="201">
        <f>Model!K$51</f>
        <v>0</v>
      </c>
      <c r="P358" s="201">
        <f>Model!L$51</f>
        <v>0</v>
      </c>
      <c r="Q358" s="201">
        <f>Model!M$51</f>
        <v>0</v>
      </c>
      <c r="R358" s="201">
        <f>Model!N$51</f>
        <v>0</v>
      </c>
      <c r="S358" s="201">
        <f>Model!R$51</f>
        <v>25000</v>
      </c>
      <c r="T358" s="204" t="str">
        <f t="shared" si="63"/>
        <v xml:space="preserve">  </v>
      </c>
      <c r="U358" s="204" t="str">
        <f t="shared" si="64"/>
        <v xml:space="preserve">  </v>
      </c>
      <c r="V358" s="204" t="str">
        <f t="shared" si="65"/>
        <v xml:space="preserve">  </v>
      </c>
      <c r="W358" s="204" t="str">
        <f t="shared" si="63"/>
        <v xml:space="preserve">  </v>
      </c>
      <c r="X358" s="204" t="str">
        <f t="shared" si="63"/>
        <v xml:space="preserve">  </v>
      </c>
      <c r="Y358" s="204" t="str">
        <f t="shared" ref="Y358:Y366" si="68">IF(ISNUMBER(Y357),"  ",IF(Y357="  ","  ",IF($G358&gt;O358,$A358,"")))</f>
        <v xml:space="preserve">  </v>
      </c>
      <c r="Z358" s="204" t="str">
        <f t="shared" si="66"/>
        <v xml:space="preserve">  </v>
      </c>
      <c r="AA358" s="204" t="str">
        <f t="shared" si="66"/>
        <v xml:space="preserve">  </v>
      </c>
      <c r="AB358" s="204" t="str">
        <f t="shared" si="66"/>
        <v xml:space="preserve">  </v>
      </c>
      <c r="AC358" s="204" t="str">
        <f t="shared" si="67"/>
        <v xml:space="preserve">  </v>
      </c>
    </row>
    <row r="359" spans="1:29" x14ac:dyDescent="0.3">
      <c r="A359" s="202">
        <v>41632</v>
      </c>
      <c r="B359" s="203">
        <f t="shared" si="58"/>
        <v>12</v>
      </c>
      <c r="C359" s="203">
        <f t="shared" si="59"/>
        <v>1</v>
      </c>
      <c r="D359" s="201">
        <f t="shared" si="60"/>
        <v>7.0378870967741936</v>
      </c>
      <c r="E359" s="201">
        <f t="shared" si="61"/>
        <v>9.342161290322581</v>
      </c>
      <c r="F359" s="201">
        <f t="shared" si="62"/>
        <v>4.8913966666666662</v>
      </c>
      <c r="G359" s="201">
        <f>SUM(D$2:D359)</f>
        <v>30094.774790322583</v>
      </c>
      <c r="H359" s="201">
        <f>SUM(E$2:E359)</f>
        <v>40451.267370967842</v>
      </c>
      <c r="I359" s="201">
        <f>SUM(F$2:F359)</f>
        <v>14674.756870322577</v>
      </c>
      <c r="J359" s="201">
        <f>Model!F$51</f>
        <v>23678.322499999998</v>
      </c>
      <c r="K359" s="201">
        <f>Model!G$51</f>
        <v>26052.648000000005</v>
      </c>
      <c r="L359" s="201">
        <f>Model!H$51</f>
        <v>27478.056499999995</v>
      </c>
      <c r="M359" s="201">
        <f>Model!I$51</f>
        <v>28903.236999999997</v>
      </c>
      <c r="N359" s="201">
        <f>Model!J$51</f>
        <v>29853.18</v>
      </c>
      <c r="O359" s="201">
        <f>Model!K$51</f>
        <v>0</v>
      </c>
      <c r="P359" s="201">
        <f>Model!L$51</f>
        <v>0</v>
      </c>
      <c r="Q359" s="201">
        <f>Model!M$51</f>
        <v>0</v>
      </c>
      <c r="R359" s="201">
        <f>Model!N$51</f>
        <v>0</v>
      </c>
      <c r="S359" s="201">
        <f>Model!R$51</f>
        <v>25000</v>
      </c>
      <c r="T359" s="204" t="str">
        <f t="shared" si="63"/>
        <v xml:space="preserve">  </v>
      </c>
      <c r="U359" s="204" t="str">
        <f t="shared" si="64"/>
        <v xml:space="preserve">  </v>
      </c>
      <c r="V359" s="204" t="str">
        <f t="shared" si="65"/>
        <v xml:space="preserve">  </v>
      </c>
      <c r="W359" s="204" t="str">
        <f t="shared" si="63"/>
        <v xml:space="preserve">  </v>
      </c>
      <c r="X359" s="204" t="str">
        <f t="shared" si="63"/>
        <v xml:space="preserve">  </v>
      </c>
      <c r="Y359" s="204" t="str">
        <f t="shared" si="68"/>
        <v xml:space="preserve">  </v>
      </c>
      <c r="Z359" s="204" t="str">
        <f t="shared" si="66"/>
        <v xml:space="preserve">  </v>
      </c>
      <c r="AA359" s="204" t="str">
        <f t="shared" si="66"/>
        <v xml:space="preserve">  </v>
      </c>
      <c r="AB359" s="204" t="str">
        <f t="shared" si="66"/>
        <v xml:space="preserve">  </v>
      </c>
      <c r="AC359" s="204" t="str">
        <f t="shared" si="67"/>
        <v xml:space="preserve">  </v>
      </c>
    </row>
    <row r="360" spans="1:29" x14ac:dyDescent="0.3">
      <c r="A360" s="202">
        <v>41633</v>
      </c>
      <c r="B360" s="203">
        <f t="shared" si="58"/>
        <v>12</v>
      </c>
      <c r="C360" s="203">
        <f t="shared" si="59"/>
        <v>1</v>
      </c>
      <c r="D360" s="201">
        <f t="shared" si="60"/>
        <v>7.0378870967741936</v>
      </c>
      <c r="E360" s="201">
        <f t="shared" si="61"/>
        <v>9.342161290322581</v>
      </c>
      <c r="F360" s="201">
        <f t="shared" si="62"/>
        <v>4.8913966666666662</v>
      </c>
      <c r="G360" s="201">
        <f>SUM(D$2:D360)</f>
        <v>30101.812677419355</v>
      </c>
      <c r="H360" s="201">
        <f>SUM(E$2:E360)</f>
        <v>40460.609532258168</v>
      </c>
      <c r="I360" s="201">
        <f>SUM(F$2:F360)</f>
        <v>14679.648266989243</v>
      </c>
      <c r="J360" s="201">
        <f>Model!F$51</f>
        <v>23678.322499999998</v>
      </c>
      <c r="K360" s="201">
        <f>Model!G$51</f>
        <v>26052.648000000005</v>
      </c>
      <c r="L360" s="201">
        <f>Model!H$51</f>
        <v>27478.056499999995</v>
      </c>
      <c r="M360" s="201">
        <f>Model!I$51</f>
        <v>28903.236999999997</v>
      </c>
      <c r="N360" s="201">
        <f>Model!J$51</f>
        <v>29853.18</v>
      </c>
      <c r="O360" s="201">
        <f>Model!K$51</f>
        <v>0</v>
      </c>
      <c r="P360" s="201">
        <f>Model!L$51</f>
        <v>0</v>
      </c>
      <c r="Q360" s="201">
        <f>Model!M$51</f>
        <v>0</v>
      </c>
      <c r="R360" s="201">
        <f>Model!N$51</f>
        <v>0</v>
      </c>
      <c r="S360" s="201">
        <f>Model!R$51</f>
        <v>25000</v>
      </c>
      <c r="T360" s="204" t="str">
        <f t="shared" si="63"/>
        <v xml:space="preserve">  </v>
      </c>
      <c r="U360" s="204" t="str">
        <f t="shared" si="64"/>
        <v xml:space="preserve">  </v>
      </c>
      <c r="V360" s="204" t="str">
        <f t="shared" si="65"/>
        <v xml:space="preserve">  </v>
      </c>
      <c r="W360" s="204" t="str">
        <f t="shared" si="63"/>
        <v xml:space="preserve">  </v>
      </c>
      <c r="X360" s="204" t="str">
        <f t="shared" si="63"/>
        <v xml:space="preserve">  </v>
      </c>
      <c r="Y360" s="204" t="str">
        <f t="shared" si="68"/>
        <v xml:space="preserve">  </v>
      </c>
      <c r="Z360" s="204" t="str">
        <f t="shared" si="66"/>
        <v xml:space="preserve">  </v>
      </c>
      <c r="AA360" s="204" t="str">
        <f t="shared" si="66"/>
        <v xml:space="preserve">  </v>
      </c>
      <c r="AB360" s="204" t="str">
        <f t="shared" si="66"/>
        <v xml:space="preserve">  </v>
      </c>
      <c r="AC360" s="204" t="str">
        <f t="shared" si="67"/>
        <v xml:space="preserve">  </v>
      </c>
    </row>
    <row r="361" spans="1:29" x14ac:dyDescent="0.3">
      <c r="A361" s="202">
        <v>41634</v>
      </c>
      <c r="B361" s="203">
        <f t="shared" si="58"/>
        <v>12</v>
      </c>
      <c r="C361" s="203">
        <f t="shared" si="59"/>
        <v>1</v>
      </c>
      <c r="D361" s="201">
        <f t="shared" si="60"/>
        <v>7.0378870967741936</v>
      </c>
      <c r="E361" s="201">
        <f t="shared" si="61"/>
        <v>9.342161290322581</v>
      </c>
      <c r="F361" s="201">
        <f t="shared" si="62"/>
        <v>4.8913966666666662</v>
      </c>
      <c r="G361" s="201">
        <f>SUM(D$2:D361)</f>
        <v>30108.850564516128</v>
      </c>
      <c r="H361" s="201">
        <f>SUM(E$2:E361)</f>
        <v>40469.951693548493</v>
      </c>
      <c r="I361" s="201">
        <f>SUM(F$2:F361)</f>
        <v>14684.539663655909</v>
      </c>
      <c r="J361" s="201">
        <f>Model!F$51</f>
        <v>23678.322499999998</v>
      </c>
      <c r="K361" s="201">
        <f>Model!G$51</f>
        <v>26052.648000000005</v>
      </c>
      <c r="L361" s="201">
        <f>Model!H$51</f>
        <v>27478.056499999995</v>
      </c>
      <c r="M361" s="201">
        <f>Model!I$51</f>
        <v>28903.236999999997</v>
      </c>
      <c r="N361" s="201">
        <f>Model!J$51</f>
        <v>29853.18</v>
      </c>
      <c r="O361" s="201">
        <f>Model!K$51</f>
        <v>0</v>
      </c>
      <c r="P361" s="201">
        <f>Model!L$51</f>
        <v>0</v>
      </c>
      <c r="Q361" s="201">
        <f>Model!M$51</f>
        <v>0</v>
      </c>
      <c r="R361" s="201">
        <f>Model!N$51</f>
        <v>0</v>
      </c>
      <c r="S361" s="201">
        <f>Model!R$51</f>
        <v>25000</v>
      </c>
      <c r="T361" s="204" t="str">
        <f t="shared" si="63"/>
        <v xml:space="preserve">  </v>
      </c>
      <c r="U361" s="204" t="str">
        <f t="shared" si="64"/>
        <v xml:space="preserve">  </v>
      </c>
      <c r="V361" s="204" t="str">
        <f t="shared" si="65"/>
        <v xml:space="preserve">  </v>
      </c>
      <c r="W361" s="204" t="str">
        <f t="shared" si="63"/>
        <v xml:space="preserve">  </v>
      </c>
      <c r="X361" s="204" t="str">
        <f t="shared" si="63"/>
        <v xml:space="preserve">  </v>
      </c>
      <c r="Y361" s="204" t="str">
        <f t="shared" si="68"/>
        <v xml:space="preserve">  </v>
      </c>
      <c r="Z361" s="204" t="str">
        <f t="shared" si="66"/>
        <v xml:space="preserve">  </v>
      </c>
      <c r="AA361" s="204" t="str">
        <f t="shared" si="66"/>
        <v xml:space="preserve">  </v>
      </c>
      <c r="AB361" s="204" t="str">
        <f t="shared" si="66"/>
        <v xml:space="preserve">  </v>
      </c>
      <c r="AC361" s="204" t="str">
        <f t="shared" si="67"/>
        <v xml:space="preserve">  </v>
      </c>
    </row>
    <row r="362" spans="1:29" x14ac:dyDescent="0.3">
      <c r="A362" s="202">
        <v>41635</v>
      </c>
      <c r="B362" s="203">
        <f t="shared" si="58"/>
        <v>12</v>
      </c>
      <c r="C362" s="203">
        <f t="shared" si="59"/>
        <v>1</v>
      </c>
      <c r="D362" s="201">
        <f t="shared" si="60"/>
        <v>7.0378870967741936</v>
      </c>
      <c r="E362" s="201">
        <f t="shared" si="61"/>
        <v>9.342161290322581</v>
      </c>
      <c r="F362" s="201">
        <f t="shared" si="62"/>
        <v>4.8913966666666662</v>
      </c>
      <c r="G362" s="201">
        <f>SUM(D$2:D362)</f>
        <v>30115.8884516129</v>
      </c>
      <c r="H362" s="201">
        <f>SUM(E$2:E362)</f>
        <v>40479.293854838819</v>
      </c>
      <c r="I362" s="201">
        <f>SUM(F$2:F362)</f>
        <v>14689.431060322575</v>
      </c>
      <c r="J362" s="201">
        <f>Model!F$51</f>
        <v>23678.322499999998</v>
      </c>
      <c r="K362" s="201">
        <f>Model!G$51</f>
        <v>26052.648000000005</v>
      </c>
      <c r="L362" s="201">
        <f>Model!H$51</f>
        <v>27478.056499999995</v>
      </c>
      <c r="M362" s="201">
        <f>Model!I$51</f>
        <v>28903.236999999997</v>
      </c>
      <c r="N362" s="201">
        <f>Model!J$51</f>
        <v>29853.18</v>
      </c>
      <c r="O362" s="201">
        <f>Model!K$51</f>
        <v>0</v>
      </c>
      <c r="P362" s="201">
        <f>Model!L$51</f>
        <v>0</v>
      </c>
      <c r="Q362" s="201">
        <f>Model!M$51</f>
        <v>0</v>
      </c>
      <c r="R362" s="201">
        <f>Model!N$51</f>
        <v>0</v>
      </c>
      <c r="S362" s="201">
        <f>Model!R$51</f>
        <v>25000</v>
      </c>
      <c r="T362" s="204" t="str">
        <f t="shared" si="63"/>
        <v xml:space="preserve">  </v>
      </c>
      <c r="U362" s="204" t="str">
        <f t="shared" si="64"/>
        <v xml:space="preserve">  </v>
      </c>
      <c r="V362" s="204" t="str">
        <f t="shared" si="65"/>
        <v xml:space="preserve">  </v>
      </c>
      <c r="W362" s="204" t="str">
        <f t="shared" si="63"/>
        <v xml:space="preserve">  </v>
      </c>
      <c r="X362" s="204" t="str">
        <f t="shared" si="63"/>
        <v xml:space="preserve">  </v>
      </c>
      <c r="Y362" s="204" t="str">
        <f t="shared" si="68"/>
        <v xml:space="preserve">  </v>
      </c>
      <c r="Z362" s="204" t="str">
        <f t="shared" si="66"/>
        <v xml:space="preserve">  </v>
      </c>
      <c r="AA362" s="204" t="str">
        <f t="shared" si="66"/>
        <v xml:space="preserve">  </v>
      </c>
      <c r="AB362" s="204" t="str">
        <f t="shared" si="66"/>
        <v xml:space="preserve">  </v>
      </c>
      <c r="AC362" s="204" t="str">
        <f t="shared" si="67"/>
        <v xml:space="preserve">  </v>
      </c>
    </row>
    <row r="363" spans="1:29" x14ac:dyDescent="0.3">
      <c r="A363" s="202">
        <v>41636</v>
      </c>
      <c r="B363" s="203">
        <f t="shared" si="58"/>
        <v>12</v>
      </c>
      <c r="C363" s="203">
        <f t="shared" si="59"/>
        <v>1</v>
      </c>
      <c r="D363" s="201">
        <f t="shared" si="60"/>
        <v>7.0378870967741936</v>
      </c>
      <c r="E363" s="201">
        <f t="shared" si="61"/>
        <v>9.342161290322581</v>
      </c>
      <c r="F363" s="201">
        <f t="shared" si="62"/>
        <v>4.8913966666666662</v>
      </c>
      <c r="G363" s="201">
        <f>SUM(D$2:D363)</f>
        <v>30122.926338709673</v>
      </c>
      <c r="H363" s="201">
        <f>SUM(E$2:E363)</f>
        <v>40488.636016129145</v>
      </c>
      <c r="I363" s="201">
        <f>SUM(F$2:F363)</f>
        <v>14694.322456989241</v>
      </c>
      <c r="J363" s="201">
        <f>Model!F$51</f>
        <v>23678.322499999998</v>
      </c>
      <c r="K363" s="201">
        <f>Model!G$51</f>
        <v>26052.648000000005</v>
      </c>
      <c r="L363" s="201">
        <f>Model!H$51</f>
        <v>27478.056499999995</v>
      </c>
      <c r="M363" s="201">
        <f>Model!I$51</f>
        <v>28903.236999999997</v>
      </c>
      <c r="N363" s="201">
        <f>Model!J$51</f>
        <v>29853.18</v>
      </c>
      <c r="O363" s="201">
        <f>Model!K$51</f>
        <v>0</v>
      </c>
      <c r="P363" s="201">
        <f>Model!L$51</f>
        <v>0</v>
      </c>
      <c r="Q363" s="201">
        <f>Model!M$51</f>
        <v>0</v>
      </c>
      <c r="R363" s="201">
        <f>Model!N$51</f>
        <v>0</v>
      </c>
      <c r="S363" s="201">
        <f>Model!R$51</f>
        <v>25000</v>
      </c>
      <c r="T363" s="204" t="str">
        <f t="shared" si="63"/>
        <v xml:space="preserve">  </v>
      </c>
      <c r="U363" s="204" t="str">
        <f t="shared" si="64"/>
        <v xml:space="preserve">  </v>
      </c>
      <c r="V363" s="204" t="str">
        <f t="shared" si="65"/>
        <v xml:space="preserve">  </v>
      </c>
      <c r="W363" s="204" t="str">
        <f t="shared" si="63"/>
        <v xml:space="preserve">  </v>
      </c>
      <c r="X363" s="204" t="str">
        <f t="shared" si="63"/>
        <v xml:space="preserve">  </v>
      </c>
      <c r="Y363" s="204" t="str">
        <f t="shared" si="68"/>
        <v xml:space="preserve">  </v>
      </c>
      <c r="Z363" s="204" t="str">
        <f t="shared" si="66"/>
        <v xml:space="preserve">  </v>
      </c>
      <c r="AA363" s="204" t="str">
        <f t="shared" si="66"/>
        <v xml:space="preserve">  </v>
      </c>
      <c r="AB363" s="204" t="str">
        <f t="shared" si="66"/>
        <v xml:space="preserve">  </v>
      </c>
      <c r="AC363" s="204" t="str">
        <f t="shared" si="67"/>
        <v xml:space="preserve">  </v>
      </c>
    </row>
    <row r="364" spans="1:29" x14ac:dyDescent="0.3">
      <c r="A364" s="202">
        <v>41637</v>
      </c>
      <c r="B364" s="203">
        <f t="shared" si="58"/>
        <v>12</v>
      </c>
      <c r="C364" s="203">
        <f t="shared" si="59"/>
        <v>1</v>
      </c>
      <c r="D364" s="201">
        <f t="shared" si="60"/>
        <v>7.0378870967741936</v>
      </c>
      <c r="E364" s="201">
        <f t="shared" si="61"/>
        <v>9.342161290322581</v>
      </c>
      <c r="F364" s="201">
        <f t="shared" si="62"/>
        <v>4.8913966666666662</v>
      </c>
      <c r="G364" s="201">
        <f>SUM(D$2:D364)</f>
        <v>30129.964225806445</v>
      </c>
      <c r="H364" s="201">
        <f>SUM(E$2:E364)</f>
        <v>40497.978177419471</v>
      </c>
      <c r="I364" s="201">
        <f>SUM(F$2:F364)</f>
        <v>14699.213853655907</v>
      </c>
      <c r="J364" s="201">
        <f>Model!F$51</f>
        <v>23678.322499999998</v>
      </c>
      <c r="K364" s="201">
        <f>Model!G$51</f>
        <v>26052.648000000005</v>
      </c>
      <c r="L364" s="201">
        <f>Model!H$51</f>
        <v>27478.056499999995</v>
      </c>
      <c r="M364" s="201">
        <f>Model!I$51</f>
        <v>28903.236999999997</v>
      </c>
      <c r="N364" s="201">
        <f>Model!J$51</f>
        <v>29853.18</v>
      </c>
      <c r="O364" s="201">
        <f>Model!K$51</f>
        <v>0</v>
      </c>
      <c r="P364" s="201">
        <f>Model!L$51</f>
        <v>0</v>
      </c>
      <c r="Q364" s="201">
        <f>Model!M$51</f>
        <v>0</v>
      </c>
      <c r="R364" s="201">
        <f>Model!N$51</f>
        <v>0</v>
      </c>
      <c r="S364" s="201">
        <f>Model!R$51</f>
        <v>25000</v>
      </c>
      <c r="T364" s="204" t="str">
        <f t="shared" si="63"/>
        <v xml:space="preserve">  </v>
      </c>
      <c r="U364" s="204" t="str">
        <f t="shared" si="64"/>
        <v xml:space="preserve">  </v>
      </c>
      <c r="V364" s="204" t="str">
        <f t="shared" si="65"/>
        <v xml:space="preserve">  </v>
      </c>
      <c r="W364" s="204" t="str">
        <f t="shared" si="63"/>
        <v xml:space="preserve">  </v>
      </c>
      <c r="X364" s="204" t="str">
        <f t="shared" si="63"/>
        <v xml:space="preserve">  </v>
      </c>
      <c r="Y364" s="204" t="str">
        <f t="shared" si="68"/>
        <v xml:space="preserve">  </v>
      </c>
      <c r="Z364" s="204" t="str">
        <f t="shared" si="66"/>
        <v xml:space="preserve">  </v>
      </c>
      <c r="AA364" s="204" t="str">
        <f t="shared" si="66"/>
        <v xml:space="preserve">  </v>
      </c>
      <c r="AB364" s="204" t="str">
        <f t="shared" si="66"/>
        <v xml:space="preserve">  </v>
      </c>
      <c r="AC364" s="204" t="str">
        <f t="shared" si="67"/>
        <v xml:space="preserve">  </v>
      </c>
    </row>
    <row r="365" spans="1:29" x14ac:dyDescent="0.3">
      <c r="A365" s="202">
        <v>41638</v>
      </c>
      <c r="B365" s="203">
        <f t="shared" si="58"/>
        <v>12</v>
      </c>
      <c r="C365" s="203">
        <f t="shared" si="59"/>
        <v>1</v>
      </c>
      <c r="D365" s="201">
        <f t="shared" si="60"/>
        <v>7.0378870967741936</v>
      </c>
      <c r="E365" s="201">
        <f t="shared" si="61"/>
        <v>9.342161290322581</v>
      </c>
      <c r="F365" s="201">
        <f t="shared" si="62"/>
        <v>4.8913966666666662</v>
      </c>
      <c r="G365" s="201">
        <f>SUM(D$2:D365)</f>
        <v>30137.002112903217</v>
      </c>
      <c r="H365" s="201">
        <f>SUM(E$2:E365)</f>
        <v>40507.320338709796</v>
      </c>
      <c r="I365" s="201">
        <f>SUM(F$2:F365)</f>
        <v>14704.105250322573</v>
      </c>
      <c r="J365" s="201">
        <f>Model!F$51</f>
        <v>23678.322499999998</v>
      </c>
      <c r="K365" s="201">
        <f>Model!G$51</f>
        <v>26052.648000000005</v>
      </c>
      <c r="L365" s="201">
        <f>Model!H$51</f>
        <v>27478.056499999995</v>
      </c>
      <c r="M365" s="201">
        <f>Model!I$51</f>
        <v>28903.236999999997</v>
      </c>
      <c r="N365" s="201">
        <f>Model!J$51</f>
        <v>29853.18</v>
      </c>
      <c r="O365" s="201">
        <f>Model!K$51</f>
        <v>0</v>
      </c>
      <c r="P365" s="201">
        <f>Model!L$51</f>
        <v>0</v>
      </c>
      <c r="Q365" s="201">
        <f>Model!M$51</f>
        <v>0</v>
      </c>
      <c r="R365" s="201">
        <f>Model!N$51</f>
        <v>0</v>
      </c>
      <c r="S365" s="201">
        <f>Model!R$51</f>
        <v>25000</v>
      </c>
      <c r="T365" s="204" t="str">
        <f t="shared" si="63"/>
        <v xml:space="preserve">  </v>
      </c>
      <c r="U365" s="204" t="str">
        <f t="shared" si="64"/>
        <v xml:space="preserve">  </v>
      </c>
      <c r="V365" s="204" t="str">
        <f t="shared" si="65"/>
        <v xml:space="preserve">  </v>
      </c>
      <c r="W365" s="204" t="str">
        <f t="shared" si="63"/>
        <v xml:space="preserve">  </v>
      </c>
      <c r="X365" s="204" t="str">
        <f t="shared" si="63"/>
        <v xml:space="preserve">  </v>
      </c>
      <c r="Y365" s="204" t="str">
        <f t="shared" si="68"/>
        <v xml:space="preserve">  </v>
      </c>
      <c r="Z365" s="204" t="str">
        <f t="shared" si="66"/>
        <v xml:space="preserve">  </v>
      </c>
      <c r="AA365" s="204" t="str">
        <f t="shared" si="66"/>
        <v xml:space="preserve">  </v>
      </c>
      <c r="AB365" s="204" t="str">
        <f t="shared" si="66"/>
        <v xml:space="preserve">  </v>
      </c>
      <c r="AC365" s="204" t="str">
        <f t="shared" si="67"/>
        <v xml:space="preserve">  </v>
      </c>
    </row>
    <row r="366" spans="1:29" x14ac:dyDescent="0.3">
      <c r="A366" s="202">
        <v>41639</v>
      </c>
      <c r="B366" s="203">
        <f t="shared" si="58"/>
        <v>12</v>
      </c>
      <c r="C366" s="203">
        <f t="shared" si="59"/>
        <v>1</v>
      </c>
      <c r="D366" s="201">
        <f t="shared" si="60"/>
        <v>7.0378870967741936</v>
      </c>
      <c r="E366" s="201">
        <f t="shared" si="61"/>
        <v>9.342161290322581</v>
      </c>
      <c r="F366" s="201">
        <f t="shared" si="62"/>
        <v>4.8913966666666662</v>
      </c>
      <c r="G366" s="201">
        <f>SUM(D$2:D366)</f>
        <v>30144.03999999999</v>
      </c>
      <c r="H366" s="201">
        <f>SUM(E$2:E366)</f>
        <v>40516.662500000122</v>
      </c>
      <c r="I366" s="201">
        <f>SUM(F$2:F366)</f>
        <v>14708.996646989239</v>
      </c>
      <c r="J366" s="201">
        <f>Model!F$51</f>
        <v>23678.322499999998</v>
      </c>
      <c r="K366" s="201">
        <f>Model!G$51</f>
        <v>26052.648000000005</v>
      </c>
      <c r="L366" s="201">
        <f>Model!H$51</f>
        <v>27478.056499999995</v>
      </c>
      <c r="M366" s="201">
        <f>Model!I$51</f>
        <v>28903.236999999997</v>
      </c>
      <c r="N366" s="201">
        <f>Model!J$51</f>
        <v>29853.18</v>
      </c>
      <c r="O366" s="201">
        <f>Model!K$51</f>
        <v>0</v>
      </c>
      <c r="P366" s="201">
        <f>Model!L$51</f>
        <v>0</v>
      </c>
      <c r="Q366" s="201">
        <f>Model!M$51</f>
        <v>0</v>
      </c>
      <c r="R366" s="201">
        <f>Model!N$51</f>
        <v>0</v>
      </c>
      <c r="S366" s="201">
        <f>Model!R$51</f>
        <v>25000</v>
      </c>
      <c r="T366" s="204" t="str">
        <f t="shared" si="63"/>
        <v xml:space="preserve">  </v>
      </c>
      <c r="U366" s="204" t="str">
        <f t="shared" si="64"/>
        <v xml:space="preserve">  </v>
      </c>
      <c r="V366" s="204" t="str">
        <f t="shared" si="65"/>
        <v xml:space="preserve">  </v>
      </c>
      <c r="W366" s="204" t="str">
        <f t="shared" si="63"/>
        <v xml:space="preserve">  </v>
      </c>
      <c r="X366" s="204" t="str">
        <f t="shared" si="63"/>
        <v xml:space="preserve">  </v>
      </c>
      <c r="Y366" s="204" t="str">
        <f t="shared" si="68"/>
        <v xml:space="preserve">  </v>
      </c>
      <c r="Z366" s="204" t="str">
        <f t="shared" si="66"/>
        <v xml:space="preserve">  </v>
      </c>
      <c r="AA366" s="204" t="str">
        <f t="shared" si="66"/>
        <v xml:space="preserve">  </v>
      </c>
      <c r="AB366" s="204" t="str">
        <f t="shared" si="66"/>
        <v xml:space="preserve">  </v>
      </c>
      <c r="AC366" s="204" t="str">
        <f t="shared" si="67"/>
        <v xml:space="preserve">  </v>
      </c>
    </row>
    <row r="367" spans="1:29" x14ac:dyDescent="0.3">
      <c r="T367" s="204">
        <f>SUM(T2:T366)</f>
        <v>41499</v>
      </c>
      <c r="U367" s="204">
        <f t="shared" ref="U367:AC367" si="69">SUM(U2:U366)</f>
        <v>41515</v>
      </c>
      <c r="V367" s="204">
        <f t="shared" si="69"/>
        <v>41598</v>
      </c>
      <c r="W367" s="204">
        <f t="shared" si="69"/>
        <v>41549</v>
      </c>
      <c r="X367" s="204">
        <f t="shared" si="69"/>
        <v>41598</v>
      </c>
      <c r="Y367" s="204">
        <f t="shared" si="69"/>
        <v>41395</v>
      </c>
      <c r="Z367" s="204">
        <f t="shared" si="69"/>
        <v>41395</v>
      </c>
      <c r="AA367" s="204">
        <f t="shared" si="69"/>
        <v>41395</v>
      </c>
      <c r="AB367" s="204">
        <f t="shared" si="69"/>
        <v>41395</v>
      </c>
      <c r="AC367" s="204">
        <f t="shared" si="69"/>
        <v>41505</v>
      </c>
    </row>
    <row r="368" spans="1:29" x14ac:dyDescent="0.3">
      <c r="T368" s="202">
        <v>41640</v>
      </c>
      <c r="U368" s="202">
        <v>41640</v>
      </c>
      <c r="V368" s="202">
        <v>41640</v>
      </c>
      <c r="W368" s="202">
        <v>41640</v>
      </c>
      <c r="X368" s="202">
        <v>41640</v>
      </c>
      <c r="Y368" s="202">
        <v>41640</v>
      </c>
      <c r="Z368" s="202">
        <v>41640</v>
      </c>
      <c r="AA368" s="202">
        <v>41640</v>
      </c>
      <c r="AB368" s="202">
        <v>41640</v>
      </c>
      <c r="AC368" s="202">
        <v>41640</v>
      </c>
    </row>
    <row r="369" spans="20:29" x14ac:dyDescent="0.3">
      <c r="T369" s="195">
        <f>IF(T368-T367&gt;1000,0,T368-T367)</f>
        <v>141</v>
      </c>
      <c r="U369" s="195">
        <f t="shared" ref="U369:AC369" si="70">IF(U368-U367&gt;1000,0,U368-U367)</f>
        <v>125</v>
      </c>
      <c r="V369" s="195">
        <f t="shared" si="70"/>
        <v>42</v>
      </c>
      <c r="W369" s="195">
        <f t="shared" si="70"/>
        <v>91</v>
      </c>
      <c r="X369" s="195">
        <f t="shared" si="70"/>
        <v>42</v>
      </c>
      <c r="Y369" s="195">
        <f t="shared" si="70"/>
        <v>245</v>
      </c>
      <c r="Z369" s="195">
        <f t="shared" si="70"/>
        <v>245</v>
      </c>
      <c r="AA369" s="195">
        <f t="shared" si="70"/>
        <v>245</v>
      </c>
      <c r="AB369" s="195">
        <f t="shared" si="70"/>
        <v>245</v>
      </c>
      <c r="AC369" s="195">
        <f t="shared" si="70"/>
        <v>135</v>
      </c>
    </row>
    <row r="371" spans="20:29" x14ac:dyDescent="0.3">
      <c r="T371" s="195">
        <v>242</v>
      </c>
    </row>
    <row r="372" spans="20:29" x14ac:dyDescent="0.3">
      <c r="T372" s="195">
        <f>365-T371</f>
        <v>123</v>
      </c>
    </row>
    <row r="376" spans="20:29" x14ac:dyDescent="0.3">
      <c r="V376" s="202">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39997558519241921"/>
  </sheetPr>
  <dimension ref="A1:DG91"/>
  <sheetViews>
    <sheetView zoomScale="85" zoomScaleNormal="85" workbookViewId="0">
      <selection activeCell="A35" sqref="A35"/>
    </sheetView>
  </sheetViews>
  <sheetFormatPr defaultRowHeight="14.4" x14ac:dyDescent="0.3"/>
  <cols>
    <col min="1" max="1" width="16.33203125" customWidth="1"/>
    <col min="2" max="2" width="5.44140625" style="36" customWidth="1"/>
    <col min="3" max="3" width="5.109375" style="36" bestFit="1" customWidth="1"/>
    <col min="4" max="4" width="8.33203125" style="36" bestFit="1" customWidth="1"/>
    <col min="5" max="5" width="12.5546875" style="36" bestFit="1" customWidth="1"/>
    <col min="6" max="7" width="5.109375" style="36" bestFit="1" customWidth="1"/>
    <col min="8" max="8" width="12.88671875" style="36" bestFit="1" customWidth="1"/>
    <col min="9" max="9" width="6.88671875" style="36" bestFit="1" customWidth="1"/>
    <col min="10" max="12" width="5.109375" style="36" bestFit="1" customWidth="1"/>
    <col min="13" max="13" width="5.5546875" style="36" bestFit="1" customWidth="1"/>
    <col min="15" max="16" width="8.77734375" style="195"/>
    <col min="17" max="17" width="15.77734375" style="195" customWidth="1"/>
    <col min="18" max="24" width="8.77734375" style="195"/>
    <col min="26" max="26" width="8.77734375" customWidth="1"/>
    <col min="27" max="53" width="6.33203125" customWidth="1"/>
    <col min="54" max="112" width="8.77734375" customWidth="1"/>
  </cols>
  <sheetData>
    <row r="1" spans="1:101" ht="16.2" thickBot="1" x14ac:dyDescent="0.35">
      <c r="Z1" s="133" t="s">
        <v>69</v>
      </c>
      <c r="AA1" s="195" t="s">
        <v>90</v>
      </c>
      <c r="AB1" s="195"/>
      <c r="AC1" s="195"/>
      <c r="AD1" s="195"/>
      <c r="AE1" s="195"/>
      <c r="AF1" s="195"/>
      <c r="AG1" s="195"/>
      <c r="AH1" s="195"/>
      <c r="AI1" s="195"/>
      <c r="AJ1" s="195"/>
      <c r="AK1" s="195"/>
      <c r="AL1" s="195"/>
      <c r="AM1" s="195"/>
    </row>
    <row r="2" spans="1:101" ht="15.6" thickTop="1" thickBot="1" x14ac:dyDescent="0.35">
      <c r="A2" s="60" t="s">
        <v>348</v>
      </c>
      <c r="B2" s="598" t="s">
        <v>133</v>
      </c>
      <c r="C2" s="599"/>
      <c r="D2" s="599"/>
      <c r="E2" s="599"/>
      <c r="F2" s="599"/>
      <c r="G2" s="599"/>
      <c r="H2" s="599"/>
      <c r="I2" s="599"/>
      <c r="J2" s="599"/>
      <c r="K2" s="599"/>
      <c r="L2" s="599"/>
      <c r="M2" s="600"/>
      <c r="AA2" s="195" t="s">
        <v>87</v>
      </c>
      <c r="AB2" s="195"/>
      <c r="AC2" s="195"/>
      <c r="AD2" s="195"/>
      <c r="AE2" s="195"/>
      <c r="AF2" s="195"/>
      <c r="AG2" s="195"/>
      <c r="AH2" s="195"/>
      <c r="AI2" s="195"/>
      <c r="AJ2" s="195"/>
      <c r="AK2" s="195"/>
      <c r="AL2" s="195"/>
      <c r="AM2" s="195"/>
      <c r="CG2" s="195" t="s">
        <v>88</v>
      </c>
      <c r="CI2" s="195" t="s">
        <v>134</v>
      </c>
      <c r="CL2" s="195" t="s">
        <v>78</v>
      </c>
      <c r="CO2" s="195" t="s">
        <v>135</v>
      </c>
      <c r="CR2" s="195" t="s">
        <v>136</v>
      </c>
    </row>
    <row r="3" spans="1:101" ht="19.2" thickTop="1" thickBot="1" x14ac:dyDescent="0.4">
      <c r="A3" s="61" t="s">
        <v>171</v>
      </c>
      <c r="B3" s="86">
        <v>1</v>
      </c>
      <c r="C3" s="87">
        <v>2</v>
      </c>
      <c r="D3" s="87">
        <v>3</v>
      </c>
      <c r="E3" s="221">
        <v>4</v>
      </c>
      <c r="F3" s="221">
        <v>5</v>
      </c>
      <c r="G3" s="221">
        <v>6</v>
      </c>
      <c r="H3" s="221">
        <v>7</v>
      </c>
      <c r="I3" s="221">
        <v>8</v>
      </c>
      <c r="J3" s="221">
        <v>9</v>
      </c>
      <c r="K3" s="88">
        <v>10</v>
      </c>
      <c r="L3" s="88">
        <v>11</v>
      </c>
      <c r="M3" s="222">
        <v>12</v>
      </c>
      <c r="Q3" s="601" t="s">
        <v>309</v>
      </c>
      <c r="R3" s="601"/>
      <c r="Z3" s="140" t="s">
        <v>66</v>
      </c>
      <c r="AH3" s="193" t="s">
        <v>91</v>
      </c>
      <c r="BD3" s="11" t="s">
        <v>98</v>
      </c>
      <c r="CF3" s="195" t="s">
        <v>65</v>
      </c>
      <c r="CG3" s="195"/>
      <c r="CU3" s="195" t="s">
        <v>137</v>
      </c>
    </row>
    <row r="4" spans="1:101" ht="16.2" thickTop="1" x14ac:dyDescent="0.3">
      <c r="A4" s="137">
        <v>1</v>
      </c>
      <c r="B4" s="154">
        <v>0</v>
      </c>
      <c r="C4" s="154">
        <v>0</v>
      </c>
      <c r="D4" s="154">
        <v>0</v>
      </c>
      <c r="E4" s="154">
        <v>0</v>
      </c>
      <c r="F4" s="154">
        <v>0</v>
      </c>
      <c r="G4" s="154">
        <v>0</v>
      </c>
      <c r="H4" s="154">
        <v>0</v>
      </c>
      <c r="I4" s="154">
        <v>0</v>
      </c>
      <c r="J4" s="154">
        <v>0</v>
      </c>
      <c r="K4" s="154">
        <v>0</v>
      </c>
      <c r="L4" s="154">
        <v>0</v>
      </c>
      <c r="M4" s="154">
        <v>0</v>
      </c>
      <c r="N4">
        <v>0.31072848963570332</v>
      </c>
      <c r="Q4" s="195" t="s">
        <v>88</v>
      </c>
      <c r="Z4" s="141" t="s">
        <v>43</v>
      </c>
      <c r="AA4" s="133">
        <v>1</v>
      </c>
      <c r="AB4" s="141">
        <v>11</v>
      </c>
      <c r="AC4" s="133">
        <v>2</v>
      </c>
      <c r="AD4" s="141">
        <v>29</v>
      </c>
      <c r="AE4" s="133">
        <v>3</v>
      </c>
      <c r="AF4" s="141">
        <v>60</v>
      </c>
      <c r="AG4" s="133">
        <v>4</v>
      </c>
      <c r="AH4" s="141">
        <v>67</v>
      </c>
      <c r="AI4" s="133">
        <v>5</v>
      </c>
      <c r="AJ4" s="141">
        <v>77</v>
      </c>
      <c r="AK4" s="133">
        <v>6</v>
      </c>
      <c r="AL4" s="141">
        <v>76</v>
      </c>
      <c r="AM4" s="133">
        <v>7</v>
      </c>
      <c r="AN4" s="141">
        <v>61</v>
      </c>
      <c r="AO4" s="133">
        <v>8</v>
      </c>
      <c r="AP4" s="141">
        <v>86</v>
      </c>
      <c r="AQ4" s="133">
        <v>9</v>
      </c>
      <c r="AR4" s="141">
        <v>104</v>
      </c>
      <c r="AS4" s="133">
        <v>10</v>
      </c>
      <c r="AT4" s="141">
        <v>91</v>
      </c>
      <c r="AU4" s="133">
        <v>11</v>
      </c>
      <c r="AV4" s="141">
        <v>44</v>
      </c>
      <c r="AW4" s="133">
        <v>12</v>
      </c>
      <c r="AX4" s="141">
        <v>4</v>
      </c>
      <c r="AY4" s="141" t="s">
        <v>65</v>
      </c>
      <c r="AZ4" s="141"/>
      <c r="BA4">
        <f>AB4+AD4+AF4+AH4+AJ4+AL4+AN4+AP4+AR4+AT4+AV4+AX4</f>
        <v>710</v>
      </c>
      <c r="BP4" s="147" t="s">
        <v>73</v>
      </c>
      <c r="CF4" s="195" t="s">
        <v>67</v>
      </c>
      <c r="CG4" s="195" t="s">
        <v>28</v>
      </c>
      <c r="CN4" s="147"/>
      <c r="CO4" s="195" t="s">
        <v>65</v>
      </c>
      <c r="CP4" s="195"/>
      <c r="CQ4" s="147"/>
      <c r="CR4" s="195" t="s">
        <v>65</v>
      </c>
      <c r="CS4" s="147"/>
    </row>
    <row r="5" spans="1:101" s="147" customFormat="1" x14ac:dyDescent="0.3">
      <c r="A5" s="138">
        <v>2</v>
      </c>
      <c r="B5" s="154">
        <v>7.0475323354348696E-3</v>
      </c>
      <c r="C5" s="154">
        <v>7.0475323354348696E-3</v>
      </c>
      <c r="D5" s="154">
        <v>7.0475323354348696E-3</v>
      </c>
      <c r="E5" s="154">
        <v>7.0475323354348696E-3</v>
      </c>
      <c r="F5" s="154">
        <v>7.0475323354348696E-3</v>
      </c>
      <c r="G5" s="154">
        <v>7.0475323354348696E-3</v>
      </c>
      <c r="H5" s="154">
        <v>7.0475323354348696E-3</v>
      </c>
      <c r="I5" s="154">
        <v>7.0475323354348696E-3</v>
      </c>
      <c r="J5" s="154">
        <v>7.0475323354348696E-3</v>
      </c>
      <c r="K5" s="154">
        <v>7.0475323354348696E-3</v>
      </c>
      <c r="L5" s="154">
        <v>7.0475323354348696E-3</v>
      </c>
      <c r="M5" s="154">
        <v>7.0475323354348696E-3</v>
      </c>
      <c r="N5" s="147">
        <v>0.21725920013452787</v>
      </c>
      <c r="Q5" s="147" t="s">
        <v>316</v>
      </c>
      <c r="R5" s="12">
        <v>0</v>
      </c>
      <c r="X5" s="195"/>
      <c r="Z5"/>
      <c r="AA5" s="140" t="s">
        <v>67</v>
      </c>
      <c r="AB5" s="140" t="s">
        <v>28</v>
      </c>
      <c r="AC5" s="141" t="s">
        <v>67</v>
      </c>
      <c r="AD5" s="141" t="s">
        <v>28</v>
      </c>
      <c r="AE5" s="141" t="s">
        <v>67</v>
      </c>
      <c r="AF5" s="141" t="s">
        <v>28</v>
      </c>
      <c r="AG5" s="141" t="s">
        <v>67</v>
      </c>
      <c r="AH5" s="141" t="s">
        <v>28</v>
      </c>
      <c r="AI5" s="141" t="s">
        <v>67</v>
      </c>
      <c r="AJ5" s="141" t="s">
        <v>28</v>
      </c>
      <c r="AK5" s="141" t="s">
        <v>67</v>
      </c>
      <c r="AL5" s="141" t="s">
        <v>28</v>
      </c>
      <c r="AM5" s="141" t="s">
        <v>67</v>
      </c>
      <c r="AN5" s="141" t="s">
        <v>28</v>
      </c>
      <c r="AO5" s="141" t="s">
        <v>67</v>
      </c>
      <c r="AP5" s="141" t="s">
        <v>28</v>
      </c>
      <c r="AQ5" s="141" t="s">
        <v>67</v>
      </c>
      <c r="AR5" s="141" t="s">
        <v>28</v>
      </c>
      <c r="AS5" s="141" t="s">
        <v>67</v>
      </c>
      <c r="AT5" s="141" t="s">
        <v>28</v>
      </c>
      <c r="AU5" s="141" t="s">
        <v>67</v>
      </c>
      <c r="AV5" s="141" t="s">
        <v>28</v>
      </c>
      <c r="AW5" s="141" t="s">
        <v>67</v>
      </c>
      <c r="AX5" s="141" t="s">
        <v>28</v>
      </c>
      <c r="AY5" s="141" t="s">
        <v>67</v>
      </c>
      <c r="AZ5" s="141" t="s">
        <v>28</v>
      </c>
      <c r="CJ5" s="195">
        <v>100</v>
      </c>
      <c r="CL5" s="195" t="s">
        <v>65</v>
      </c>
      <c r="CM5" s="195"/>
      <c r="CN5"/>
      <c r="CO5" s="195">
        <f>SUM(BQ6:CM6)</f>
        <v>6588.1</v>
      </c>
      <c r="CP5" s="195"/>
      <c r="CQ5"/>
      <c r="CR5"/>
      <c r="CS5"/>
    </row>
    <row r="6" spans="1:101" x14ac:dyDescent="0.3">
      <c r="A6" s="138">
        <v>3</v>
      </c>
      <c r="B6" s="154">
        <v>6.1240625811364802E-2</v>
      </c>
      <c r="C6" s="154">
        <v>6.1240625811364802E-2</v>
      </c>
      <c r="D6" s="154">
        <v>6.1240625811364802E-2</v>
      </c>
      <c r="E6" s="154">
        <v>6.1240625811364802E-2</v>
      </c>
      <c r="F6" s="154">
        <v>6.1240625811364802E-2</v>
      </c>
      <c r="G6" s="154">
        <v>6.1240625811364802E-2</v>
      </c>
      <c r="H6" s="154">
        <v>6.1240625811364802E-2</v>
      </c>
      <c r="I6" s="154">
        <v>6.1240625811364802E-2</v>
      </c>
      <c r="J6" s="154">
        <v>6.1240625811364802E-2</v>
      </c>
      <c r="K6" s="154">
        <v>6.1240625811364802E-2</v>
      </c>
      <c r="L6" s="154">
        <v>6.1240625811364802E-2</v>
      </c>
      <c r="M6" s="154">
        <v>6.1240625811364802E-2</v>
      </c>
      <c r="N6">
        <v>0.1504628429858296</v>
      </c>
      <c r="Q6" s="195" t="s">
        <v>312</v>
      </c>
      <c r="R6" s="12">
        <v>7.0475323354348696E-3</v>
      </c>
      <c r="Z6" s="141" t="s">
        <v>49</v>
      </c>
      <c r="AA6" s="141">
        <v>33</v>
      </c>
      <c r="AB6" s="141">
        <f>1-(AA6/$AA$6)</f>
        <v>0</v>
      </c>
      <c r="AC6" s="141">
        <v>78</v>
      </c>
      <c r="AD6" s="141">
        <f>AC6/$AC$6</f>
        <v>1</v>
      </c>
      <c r="AE6" s="141">
        <v>163</v>
      </c>
      <c r="AF6" s="141">
        <v>100</v>
      </c>
      <c r="AG6" s="141">
        <v>210</v>
      </c>
      <c r="AH6" s="141">
        <v>100</v>
      </c>
      <c r="AI6" s="141">
        <v>198</v>
      </c>
      <c r="AJ6" s="141">
        <v>100</v>
      </c>
      <c r="AK6" s="141">
        <v>275</v>
      </c>
      <c r="AL6" s="141">
        <v>100</v>
      </c>
      <c r="AM6" s="141">
        <v>194</v>
      </c>
      <c r="AN6" s="141">
        <v>100</v>
      </c>
      <c r="AO6" s="141">
        <v>202</v>
      </c>
      <c r="AP6" s="141">
        <v>100</v>
      </c>
      <c r="AQ6" s="141">
        <v>266</v>
      </c>
      <c r="AR6" s="141">
        <v>100</v>
      </c>
      <c r="AS6" s="141">
        <v>272</v>
      </c>
      <c r="AT6" s="141">
        <v>100</v>
      </c>
      <c r="AU6" s="141">
        <v>118</v>
      </c>
      <c r="AV6" s="141">
        <v>100</v>
      </c>
      <c r="AW6">
        <v>11</v>
      </c>
      <c r="AX6" s="141">
        <v>100</v>
      </c>
      <c r="AY6" s="142">
        <v>2021</v>
      </c>
      <c r="AZ6" s="141">
        <v>100</v>
      </c>
      <c r="BB6" t="s">
        <v>37</v>
      </c>
      <c r="BC6" s="141" t="s">
        <v>68</v>
      </c>
      <c r="BP6" s="141" t="s">
        <v>37</v>
      </c>
      <c r="BQ6" s="141" t="s">
        <v>68</v>
      </c>
      <c r="BR6" s="141"/>
      <c r="BS6" s="141"/>
      <c r="BT6" s="141"/>
      <c r="BU6" s="141"/>
      <c r="BV6" s="141"/>
      <c r="BW6" s="141"/>
      <c r="BX6" s="141"/>
      <c r="BY6" s="141"/>
      <c r="BZ6" s="141"/>
      <c r="CA6" s="141"/>
      <c r="CB6" s="141"/>
      <c r="CE6" s="195" t="s">
        <v>49</v>
      </c>
      <c r="CF6" s="144">
        <v>2021</v>
      </c>
      <c r="CG6" s="195">
        <v>100</v>
      </c>
      <c r="CH6" s="195" t="s">
        <v>49</v>
      </c>
      <c r="CI6" s="144">
        <v>3970</v>
      </c>
      <c r="CJ6" s="195">
        <v>24.1</v>
      </c>
      <c r="CK6" s="195" t="s">
        <v>49</v>
      </c>
      <c r="CL6" s="195">
        <v>373</v>
      </c>
      <c r="CM6" s="195">
        <v>100</v>
      </c>
      <c r="CN6" s="195" t="s">
        <v>49</v>
      </c>
      <c r="CO6" s="195">
        <v>23</v>
      </c>
      <c r="CP6" s="195">
        <v>100</v>
      </c>
      <c r="CQ6" s="195" t="s">
        <v>49</v>
      </c>
      <c r="CR6" s="195">
        <v>255</v>
      </c>
      <c r="CS6" s="195">
        <v>100</v>
      </c>
      <c r="CU6" s="195" t="s">
        <v>49</v>
      </c>
      <c r="CV6" s="144">
        <f>CF6+CI6+CL6+CO6+CR6</f>
        <v>6642</v>
      </c>
    </row>
    <row r="7" spans="1:101" ht="15" thickBot="1" x14ac:dyDescent="0.35">
      <c r="A7" s="108">
        <v>4</v>
      </c>
      <c r="B7" s="154">
        <v>0</v>
      </c>
      <c r="C7" s="154">
        <v>0</v>
      </c>
      <c r="D7" s="154">
        <v>0</v>
      </c>
      <c r="E7" s="154">
        <v>0</v>
      </c>
      <c r="F7" s="154">
        <v>0</v>
      </c>
      <c r="G7" s="154">
        <v>0</v>
      </c>
      <c r="H7" s="154">
        <v>0</v>
      </c>
      <c r="I7" s="154">
        <v>0</v>
      </c>
      <c r="J7" s="154">
        <v>0</v>
      </c>
      <c r="K7" s="154">
        <v>0</v>
      </c>
      <c r="L7" s="154">
        <v>0</v>
      </c>
      <c r="M7" s="154">
        <v>0</v>
      </c>
      <c r="N7">
        <v>0.10143269973889125</v>
      </c>
      <c r="Q7" s="195" t="s">
        <v>311</v>
      </c>
      <c r="R7" s="12">
        <v>6.1240625811364802E-2</v>
      </c>
      <c r="Z7" s="141">
        <v>14</v>
      </c>
      <c r="AA7" s="141">
        <v>0</v>
      </c>
      <c r="AB7" s="195">
        <f>1-(AA7/$AA$6)</f>
        <v>1</v>
      </c>
      <c r="AC7" s="141">
        <v>0</v>
      </c>
      <c r="AD7" s="195">
        <f>AC7/$AC$6</f>
        <v>0</v>
      </c>
      <c r="AE7" s="141">
        <v>0</v>
      </c>
      <c r="AF7" s="141">
        <v>0</v>
      </c>
      <c r="AG7" s="141">
        <v>0</v>
      </c>
      <c r="AH7" s="141">
        <v>0</v>
      </c>
      <c r="AI7" s="141">
        <v>0</v>
      </c>
      <c r="AJ7" s="141">
        <v>0</v>
      </c>
      <c r="AK7" s="141">
        <v>0</v>
      </c>
      <c r="AL7" s="141">
        <v>0</v>
      </c>
      <c r="AM7" s="141">
        <v>0</v>
      </c>
      <c r="AN7" s="141">
        <v>0</v>
      </c>
      <c r="AO7" s="141">
        <v>0</v>
      </c>
      <c r="AP7" s="141">
        <v>0</v>
      </c>
      <c r="AQ7" s="141">
        <v>0</v>
      </c>
      <c r="AR7" s="141">
        <v>0</v>
      </c>
      <c r="AS7" s="141">
        <v>0</v>
      </c>
      <c r="AT7" s="141">
        <v>0</v>
      </c>
      <c r="AU7" s="141">
        <v>0</v>
      </c>
      <c r="AV7" s="141">
        <v>0</v>
      </c>
      <c r="AW7" s="141">
        <v>0</v>
      </c>
      <c r="AX7" s="141">
        <v>0</v>
      </c>
      <c r="AY7" s="141">
        <v>0</v>
      </c>
      <c r="AZ7" s="141">
        <v>0</v>
      </c>
      <c r="BB7" t="s">
        <v>49</v>
      </c>
      <c r="BC7">
        <v>1</v>
      </c>
      <c r="BD7">
        <v>2</v>
      </c>
      <c r="BE7">
        <v>3</v>
      </c>
      <c r="BF7">
        <v>4</v>
      </c>
      <c r="BG7">
        <v>5</v>
      </c>
      <c r="BH7">
        <v>6</v>
      </c>
      <c r="BI7">
        <v>7</v>
      </c>
      <c r="BJ7">
        <v>8</v>
      </c>
      <c r="BK7">
        <v>9</v>
      </c>
      <c r="BL7">
        <v>10</v>
      </c>
      <c r="BM7">
        <v>11</v>
      </c>
      <c r="BN7">
        <v>12</v>
      </c>
      <c r="BP7" s="141"/>
      <c r="BQ7" s="141">
        <v>1</v>
      </c>
      <c r="BR7" s="141">
        <v>2</v>
      </c>
      <c r="BS7" s="141">
        <v>3</v>
      </c>
      <c r="BT7" s="141">
        <v>4</v>
      </c>
      <c r="BU7" s="141">
        <v>5</v>
      </c>
      <c r="BV7" s="141">
        <v>6</v>
      </c>
      <c r="BW7" s="141">
        <v>7</v>
      </c>
      <c r="BX7" s="141">
        <v>8</v>
      </c>
      <c r="BY7" s="141">
        <v>9</v>
      </c>
      <c r="BZ7" s="141">
        <v>10</v>
      </c>
      <c r="CA7" s="141">
        <v>11</v>
      </c>
      <c r="CB7" s="141">
        <v>12</v>
      </c>
      <c r="CE7" s="195" t="s">
        <v>63</v>
      </c>
      <c r="CF7" s="195">
        <v>397</v>
      </c>
      <c r="CG7" s="195">
        <v>19.600000000000001</v>
      </c>
      <c r="CH7" s="195" t="s">
        <v>63</v>
      </c>
      <c r="CI7" s="195">
        <v>957</v>
      </c>
      <c r="CJ7" s="195">
        <v>0</v>
      </c>
      <c r="CK7" s="195" t="s">
        <v>63</v>
      </c>
      <c r="CL7" s="195">
        <v>102</v>
      </c>
      <c r="CM7" s="195">
        <v>27.5</v>
      </c>
      <c r="CN7" s="195" t="s">
        <v>63</v>
      </c>
      <c r="CO7" s="195">
        <v>2</v>
      </c>
      <c r="CP7" s="195">
        <v>7.6</v>
      </c>
      <c r="CQ7" s="195" t="s">
        <v>63</v>
      </c>
      <c r="CR7" s="195">
        <v>194</v>
      </c>
      <c r="CS7" s="195">
        <v>76</v>
      </c>
      <c r="CV7" s="195" t="s">
        <v>138</v>
      </c>
      <c r="CW7" s="195" t="s">
        <v>139</v>
      </c>
    </row>
    <row r="8" spans="1:101" ht="15" thickTop="1" x14ac:dyDescent="0.3">
      <c r="A8" s="108">
        <v>5</v>
      </c>
      <c r="B8" s="109">
        <v>0</v>
      </c>
      <c r="C8" s="109">
        <v>0</v>
      </c>
      <c r="D8" s="109">
        <v>0</v>
      </c>
      <c r="E8" s="109">
        <v>0</v>
      </c>
      <c r="F8" s="109">
        <v>0</v>
      </c>
      <c r="G8" s="109">
        <v>0</v>
      </c>
      <c r="H8" s="109">
        <v>0</v>
      </c>
      <c r="I8" s="109">
        <v>0</v>
      </c>
      <c r="J8" s="109">
        <v>0</v>
      </c>
      <c r="K8" s="109">
        <v>0</v>
      </c>
      <c r="L8" s="109">
        <v>0</v>
      </c>
      <c r="M8" s="109">
        <v>0</v>
      </c>
      <c r="N8">
        <v>6.5410765231432896E-2</v>
      </c>
      <c r="P8" s="13"/>
      <c r="Q8" s="13"/>
      <c r="R8" s="13"/>
      <c r="S8" s="13"/>
      <c r="Z8" s="141" t="s">
        <v>63</v>
      </c>
      <c r="AA8" s="141">
        <v>5</v>
      </c>
      <c r="AB8" s="195">
        <f>1-(AA8/$AA$6)</f>
        <v>0.84848484848484851</v>
      </c>
      <c r="AC8" s="141">
        <v>19</v>
      </c>
      <c r="AD8" s="195">
        <f>AC8/$AC$6</f>
        <v>0.24358974358974358</v>
      </c>
      <c r="AE8" s="141">
        <v>37</v>
      </c>
      <c r="AF8" s="141">
        <v>22.6</v>
      </c>
      <c r="AG8" s="141">
        <v>30</v>
      </c>
      <c r="AH8" s="141">
        <v>14.1</v>
      </c>
      <c r="AI8" s="141">
        <v>35</v>
      </c>
      <c r="AJ8" s="141">
        <v>17.7</v>
      </c>
      <c r="AK8" s="141">
        <v>14</v>
      </c>
      <c r="AL8" s="141">
        <v>5</v>
      </c>
      <c r="AM8" s="141">
        <v>32</v>
      </c>
      <c r="AN8" s="141">
        <v>16.5</v>
      </c>
      <c r="AO8" s="141">
        <v>75</v>
      </c>
      <c r="AP8" s="141">
        <v>37.299999999999997</v>
      </c>
      <c r="AQ8" s="141">
        <v>75</v>
      </c>
      <c r="AR8" s="141">
        <v>28.2</v>
      </c>
      <c r="AS8" s="141">
        <v>53</v>
      </c>
      <c r="AT8" s="141">
        <v>19.5</v>
      </c>
      <c r="AU8" s="141">
        <v>20</v>
      </c>
      <c r="AV8" s="141">
        <v>17.2</v>
      </c>
      <c r="AW8" s="141">
        <v>2</v>
      </c>
      <c r="AX8" s="141">
        <v>15.5</v>
      </c>
      <c r="AY8" s="141">
        <v>397</v>
      </c>
      <c r="AZ8" s="141">
        <v>19.600000000000001</v>
      </c>
      <c r="BB8" t="s">
        <v>63</v>
      </c>
      <c r="BC8">
        <v>22.262773722627738</v>
      </c>
      <c r="BD8" s="141">
        <v>22.262773722627738</v>
      </c>
      <c r="BE8" s="141">
        <v>22.262773722627738</v>
      </c>
      <c r="BF8" s="141">
        <v>14.1</v>
      </c>
      <c r="BG8" s="141">
        <v>17.7</v>
      </c>
      <c r="BH8" s="141">
        <v>5</v>
      </c>
      <c r="BI8" s="141">
        <v>16.5</v>
      </c>
      <c r="BJ8" s="141">
        <v>37.299999999999997</v>
      </c>
      <c r="BK8" s="141">
        <v>28.2</v>
      </c>
      <c r="BL8" s="141">
        <v>18.703241895261847</v>
      </c>
      <c r="BM8" s="141">
        <v>18.703241895261847</v>
      </c>
      <c r="BN8">
        <v>18.703241895261847</v>
      </c>
      <c r="BP8" s="141" t="s">
        <v>64</v>
      </c>
      <c r="BQ8" s="12">
        <f>BC8/100</f>
        <v>0.22262773722627738</v>
      </c>
      <c r="BR8" s="12">
        <f>BD8/100</f>
        <v>0.22262773722627738</v>
      </c>
      <c r="BS8" s="12">
        <f t="shared" ref="BS8:BS16" si="0">BE8/100</f>
        <v>0.22262773722627738</v>
      </c>
      <c r="BT8" s="12">
        <f t="shared" ref="BT8:BT16" si="1">BF8/100</f>
        <v>0.14099999999999999</v>
      </c>
      <c r="BU8" s="12">
        <f t="shared" ref="BU8:BU16" si="2">BG8/100</f>
        <v>0.17699999999999999</v>
      </c>
      <c r="BV8" s="12">
        <f t="shared" ref="BV8:BV16" si="3">BH8/100</f>
        <v>0.05</v>
      </c>
      <c r="BW8" s="12">
        <f t="shared" ref="BW8:BW16" si="4">BI8/100</f>
        <v>0.16500000000000001</v>
      </c>
      <c r="BX8" s="12">
        <f t="shared" ref="BX8:BX16" si="5">BJ8/100</f>
        <v>0.373</v>
      </c>
      <c r="BY8" s="12">
        <f t="shared" ref="BY8:BY16" si="6">BK8/100</f>
        <v>0.28199999999999997</v>
      </c>
      <c r="BZ8" s="12">
        <f t="shared" ref="BZ8:BZ16" si="7">BL8/100</f>
        <v>0.18703241895261846</v>
      </c>
      <c r="CA8" s="12">
        <f t="shared" ref="CA8:CB16" si="8">BM8/100</f>
        <v>0.18703241895261846</v>
      </c>
      <c r="CB8" s="12">
        <f t="shared" si="8"/>
        <v>0.18703241895261846</v>
      </c>
      <c r="CE8" s="195">
        <v>14</v>
      </c>
      <c r="CF8" s="195">
        <v>0</v>
      </c>
      <c r="CG8" s="195">
        <v>0</v>
      </c>
      <c r="CH8" s="195">
        <v>14</v>
      </c>
      <c r="CI8" s="195">
        <v>0</v>
      </c>
      <c r="CJ8" s="195"/>
      <c r="CK8" s="195">
        <v>14</v>
      </c>
      <c r="CL8" s="195">
        <v>0</v>
      </c>
      <c r="CM8" s="195">
        <v>0</v>
      </c>
      <c r="CN8" s="195">
        <v>14</v>
      </c>
      <c r="CO8" s="195">
        <v>0</v>
      </c>
      <c r="CP8" s="195">
        <v>0</v>
      </c>
      <c r="CQ8" s="195">
        <v>14</v>
      </c>
      <c r="CR8" s="195">
        <v>0</v>
      </c>
      <c r="CS8" s="195">
        <v>0</v>
      </c>
      <c r="CU8" s="195">
        <v>14</v>
      </c>
      <c r="CV8">
        <f>CF8+CI8+CL8+CO8+CR8</f>
        <v>0</v>
      </c>
      <c r="CW8">
        <f t="shared" ref="CW8:CW20" si="9">(CV8/$CV$6)*100</f>
        <v>0</v>
      </c>
    </row>
    <row r="9" spans="1:101" ht="15" thickBot="1" x14ac:dyDescent="0.35">
      <c r="A9" s="108">
        <v>7</v>
      </c>
      <c r="B9" s="154">
        <v>0</v>
      </c>
      <c r="C9" s="154">
        <v>0</v>
      </c>
      <c r="D9" s="154">
        <v>0</v>
      </c>
      <c r="E9" s="154">
        <v>0</v>
      </c>
      <c r="F9" s="154">
        <v>0</v>
      </c>
      <c r="G9" s="154">
        <v>0</v>
      </c>
      <c r="H9" s="154">
        <v>0</v>
      </c>
      <c r="I9" s="154">
        <v>0</v>
      </c>
      <c r="J9" s="154">
        <v>0</v>
      </c>
      <c r="K9" s="154">
        <v>0</v>
      </c>
      <c r="L9" s="154">
        <v>0</v>
      </c>
      <c r="M9" s="154">
        <v>0</v>
      </c>
      <c r="N9">
        <v>3.7984568445130804E-2</v>
      </c>
      <c r="P9" s="281"/>
      <c r="Q9" s="13" t="s">
        <v>310</v>
      </c>
      <c r="R9" s="281"/>
      <c r="S9" s="13"/>
      <c r="Z9" s="141">
        <v>15</v>
      </c>
      <c r="AA9" s="141">
        <v>10</v>
      </c>
      <c r="AB9" s="195">
        <f>1-(AA9/$AA$6)</f>
        <v>0.69696969696969702</v>
      </c>
      <c r="AC9" s="141">
        <v>27</v>
      </c>
      <c r="AD9" s="195">
        <f>AC9/$AC$6</f>
        <v>0.34615384615384615</v>
      </c>
      <c r="AE9" s="141">
        <v>57</v>
      </c>
      <c r="AF9" s="141">
        <v>35.1</v>
      </c>
      <c r="AG9" s="141">
        <v>67</v>
      </c>
      <c r="AH9" s="141">
        <v>32</v>
      </c>
      <c r="AI9" s="141">
        <v>81</v>
      </c>
      <c r="AJ9" s="141">
        <v>40.9</v>
      </c>
      <c r="AK9" s="141">
        <v>61</v>
      </c>
      <c r="AL9" s="141">
        <v>22.2</v>
      </c>
      <c r="AM9" s="141">
        <v>19</v>
      </c>
      <c r="AN9" s="141">
        <v>10.1</v>
      </c>
      <c r="AO9" s="141">
        <v>55</v>
      </c>
      <c r="AP9" s="141">
        <v>27.3</v>
      </c>
      <c r="AQ9" s="141">
        <v>82</v>
      </c>
      <c r="AR9" s="141">
        <v>31</v>
      </c>
      <c r="AS9" s="141">
        <v>82</v>
      </c>
      <c r="AT9" s="141">
        <v>30</v>
      </c>
      <c r="AU9" s="141">
        <v>57</v>
      </c>
      <c r="AV9" s="141">
        <v>48.5</v>
      </c>
      <c r="AW9" s="141">
        <v>3</v>
      </c>
      <c r="AX9" s="141">
        <v>26.7</v>
      </c>
      <c r="AY9" s="141">
        <v>603</v>
      </c>
      <c r="AZ9" s="141">
        <v>29.8</v>
      </c>
      <c r="BB9">
        <v>14</v>
      </c>
      <c r="BC9" s="141">
        <v>0</v>
      </c>
      <c r="BD9" s="141">
        <v>0</v>
      </c>
      <c r="BE9" s="141">
        <v>0</v>
      </c>
      <c r="BF9" s="141">
        <v>0</v>
      </c>
      <c r="BG9" s="141">
        <v>0</v>
      </c>
      <c r="BH9" s="141">
        <v>0</v>
      </c>
      <c r="BI9" s="141">
        <v>0</v>
      </c>
      <c r="BJ9" s="141">
        <v>0</v>
      </c>
      <c r="BK9" s="141">
        <v>0</v>
      </c>
      <c r="BL9" s="141">
        <v>0</v>
      </c>
      <c r="BM9" s="141">
        <v>0</v>
      </c>
      <c r="BN9" s="147">
        <v>0</v>
      </c>
      <c r="BP9" s="195">
        <v>14</v>
      </c>
      <c r="BQ9" s="12">
        <f>BC9/100</f>
        <v>0</v>
      </c>
      <c r="BR9" s="12">
        <f t="shared" ref="BR9:BR16" si="10">BD9/100</f>
        <v>0</v>
      </c>
      <c r="BS9" s="12">
        <f t="shared" si="0"/>
        <v>0</v>
      </c>
      <c r="BT9" s="12">
        <f t="shared" si="1"/>
        <v>0</v>
      </c>
      <c r="BU9" s="12">
        <f t="shared" si="2"/>
        <v>0</v>
      </c>
      <c r="BV9" s="12">
        <f t="shared" si="3"/>
        <v>0</v>
      </c>
      <c r="BW9" s="12">
        <f t="shared" si="4"/>
        <v>0</v>
      </c>
      <c r="BX9" s="12">
        <f t="shared" si="5"/>
        <v>0</v>
      </c>
      <c r="BY9" s="12">
        <f t="shared" si="6"/>
        <v>0</v>
      </c>
      <c r="BZ9" s="12">
        <f t="shared" si="7"/>
        <v>0</v>
      </c>
      <c r="CA9" s="12">
        <f t="shared" si="8"/>
        <v>0</v>
      </c>
      <c r="CB9" s="12">
        <f t="shared" si="8"/>
        <v>0</v>
      </c>
      <c r="CE9" s="195">
        <v>15</v>
      </c>
      <c r="CF9" s="195">
        <v>603</v>
      </c>
      <c r="CG9" s="195">
        <v>29.8</v>
      </c>
      <c r="CH9" s="195">
        <v>15</v>
      </c>
      <c r="CI9" s="144">
        <v>1092</v>
      </c>
      <c r="CJ9" s="195">
        <v>27.5</v>
      </c>
      <c r="CK9" s="195">
        <v>15</v>
      </c>
      <c r="CL9" s="195">
        <v>81</v>
      </c>
      <c r="CM9" s="195">
        <v>21.7</v>
      </c>
      <c r="CN9" s="195">
        <v>15</v>
      </c>
      <c r="CO9" s="195">
        <v>17</v>
      </c>
      <c r="CP9" s="195">
        <v>75.099999999999994</v>
      </c>
      <c r="CQ9" s="195">
        <v>15</v>
      </c>
      <c r="CR9" s="195">
        <v>27</v>
      </c>
      <c r="CS9" s="195">
        <v>10.7</v>
      </c>
      <c r="CU9" s="195">
        <v>15</v>
      </c>
      <c r="CV9" s="195">
        <f t="shared" ref="CV9:CV20" si="11">CF9+CI9+CL9+CO9+CR9</f>
        <v>1820</v>
      </c>
      <c r="CW9" s="197">
        <f t="shared" si="9"/>
        <v>27.401385124962363</v>
      </c>
    </row>
    <row r="10" spans="1:101" ht="15" thickTop="1" x14ac:dyDescent="0.3">
      <c r="A10" s="108">
        <v>8</v>
      </c>
      <c r="B10" s="109">
        <v>0</v>
      </c>
      <c r="C10" s="109">
        <v>0</v>
      </c>
      <c r="D10" s="109">
        <v>0</v>
      </c>
      <c r="E10" s="109">
        <v>0</v>
      </c>
      <c r="F10" s="109">
        <v>0</v>
      </c>
      <c r="G10" s="109">
        <v>0</v>
      </c>
      <c r="H10" s="109">
        <v>0</v>
      </c>
      <c r="I10" s="109">
        <v>0</v>
      </c>
      <c r="J10" s="109">
        <v>0</v>
      </c>
      <c r="K10" s="109">
        <v>0</v>
      </c>
      <c r="L10" s="109">
        <v>0</v>
      </c>
      <c r="M10" s="109">
        <v>0</v>
      </c>
      <c r="N10">
        <v>1.2999999999999999E-4</v>
      </c>
      <c r="P10" s="282"/>
      <c r="Q10" s="13" t="s">
        <v>316</v>
      </c>
      <c r="R10" s="12">
        <v>0</v>
      </c>
      <c r="S10" s="13"/>
      <c r="Z10" s="141">
        <v>16</v>
      </c>
      <c r="AA10" s="141">
        <v>19</v>
      </c>
      <c r="AB10" s="195">
        <f>1-(AA10/$AA$6)</f>
        <v>0.4242424242424242</v>
      </c>
      <c r="AC10" s="141">
        <v>43</v>
      </c>
      <c r="AD10" s="195">
        <f>AC10/$AC$6</f>
        <v>0.55128205128205132</v>
      </c>
      <c r="AE10" s="141">
        <v>85</v>
      </c>
      <c r="AF10" s="141">
        <v>52.3</v>
      </c>
      <c r="AG10" s="141">
        <v>90</v>
      </c>
      <c r="AH10" s="141">
        <v>42.9</v>
      </c>
      <c r="AI10" s="141">
        <v>124</v>
      </c>
      <c r="AJ10" s="141">
        <v>62.7</v>
      </c>
      <c r="AK10" s="141">
        <v>112</v>
      </c>
      <c r="AL10" s="141">
        <v>40.9</v>
      </c>
      <c r="AM10" s="141">
        <v>65</v>
      </c>
      <c r="AN10" s="141">
        <v>33.4</v>
      </c>
      <c r="AO10" s="141">
        <v>78</v>
      </c>
      <c r="AP10" s="141">
        <v>38.6</v>
      </c>
      <c r="AQ10" s="141">
        <v>128</v>
      </c>
      <c r="AR10" s="141">
        <v>48</v>
      </c>
      <c r="AS10" s="141">
        <v>139</v>
      </c>
      <c r="AT10" s="141">
        <v>51</v>
      </c>
      <c r="AU10" s="141">
        <v>78</v>
      </c>
      <c r="AV10" s="141">
        <v>66</v>
      </c>
      <c r="AW10" s="141">
        <v>6</v>
      </c>
      <c r="AX10" s="141">
        <v>51</v>
      </c>
      <c r="AY10" s="141">
        <v>967</v>
      </c>
      <c r="AZ10" s="141">
        <v>47.9</v>
      </c>
      <c r="BB10">
        <v>15</v>
      </c>
      <c r="BC10" s="141">
        <v>34.306569343065696</v>
      </c>
      <c r="BD10" s="141">
        <v>34.306569343065696</v>
      </c>
      <c r="BE10" s="141">
        <v>34.306569343065696</v>
      </c>
      <c r="BF10" s="141">
        <v>32</v>
      </c>
      <c r="BG10" s="141">
        <v>40.9</v>
      </c>
      <c r="BH10" s="141">
        <v>22.2</v>
      </c>
      <c r="BI10" s="141">
        <v>10.1</v>
      </c>
      <c r="BJ10" s="141">
        <v>27.3</v>
      </c>
      <c r="BK10" s="141">
        <v>31</v>
      </c>
      <c r="BL10" s="141">
        <v>35.411471321695757</v>
      </c>
      <c r="BM10" s="141">
        <v>35.411471321695757</v>
      </c>
      <c r="BN10">
        <v>35.411471321695757</v>
      </c>
      <c r="BP10" s="195">
        <v>15</v>
      </c>
      <c r="BQ10" s="12">
        <f>BC10/100</f>
        <v>0.34306569343065696</v>
      </c>
      <c r="BR10" s="12">
        <f t="shared" si="10"/>
        <v>0.34306569343065696</v>
      </c>
      <c r="BS10" s="12">
        <f t="shared" si="0"/>
        <v>0.34306569343065696</v>
      </c>
      <c r="BT10" s="12">
        <f t="shared" si="1"/>
        <v>0.32</v>
      </c>
      <c r="BU10" s="12">
        <f t="shared" si="2"/>
        <v>0.40899999999999997</v>
      </c>
      <c r="BV10" s="12">
        <f t="shared" si="3"/>
        <v>0.222</v>
      </c>
      <c r="BW10" s="12">
        <f t="shared" si="4"/>
        <v>0.10099999999999999</v>
      </c>
      <c r="BX10" s="12">
        <f t="shared" si="5"/>
        <v>0.27300000000000002</v>
      </c>
      <c r="BY10" s="12">
        <f t="shared" si="6"/>
        <v>0.31</v>
      </c>
      <c r="BZ10" s="12">
        <f t="shared" si="7"/>
        <v>0.35411471321695759</v>
      </c>
      <c r="CA10" s="12">
        <f t="shared" si="8"/>
        <v>0.35411471321695759</v>
      </c>
      <c r="CB10" s="12">
        <f t="shared" si="8"/>
        <v>0.35411471321695759</v>
      </c>
      <c r="CE10" s="195">
        <v>16</v>
      </c>
      <c r="CF10" s="195">
        <v>967</v>
      </c>
      <c r="CG10" s="195">
        <v>47.9</v>
      </c>
      <c r="CH10" s="195">
        <v>16</v>
      </c>
      <c r="CI10" s="144">
        <v>1775</v>
      </c>
      <c r="CJ10" s="195">
        <v>44.7</v>
      </c>
      <c r="CK10" s="195">
        <v>16</v>
      </c>
      <c r="CL10" s="195">
        <v>143</v>
      </c>
      <c r="CM10" s="195">
        <v>38.200000000000003</v>
      </c>
      <c r="CN10" s="195">
        <v>16</v>
      </c>
      <c r="CO10" s="195">
        <v>17</v>
      </c>
      <c r="CP10" s="195">
        <v>75.099999999999994</v>
      </c>
      <c r="CQ10" s="195">
        <v>16</v>
      </c>
      <c r="CR10" s="195">
        <v>42</v>
      </c>
      <c r="CS10" s="195">
        <v>16.600000000000001</v>
      </c>
      <c r="CU10" s="195">
        <v>16</v>
      </c>
      <c r="CV10" s="195">
        <f t="shared" si="11"/>
        <v>2944</v>
      </c>
      <c r="CW10" s="197">
        <f t="shared" si="9"/>
        <v>44.32399879554351</v>
      </c>
    </row>
    <row r="11" spans="1:101" s="195" customFormat="1" ht="15" thickBot="1" x14ac:dyDescent="0.35">
      <c r="A11" s="108">
        <v>9</v>
      </c>
      <c r="B11" s="154">
        <v>0</v>
      </c>
      <c r="C11" s="154">
        <v>0</v>
      </c>
      <c r="D11" s="154">
        <v>0</v>
      </c>
      <c r="E11" s="154">
        <v>0</v>
      </c>
      <c r="F11" s="154">
        <v>0</v>
      </c>
      <c r="G11" s="154">
        <v>0</v>
      </c>
      <c r="H11" s="154">
        <v>0</v>
      </c>
      <c r="I11" s="154">
        <v>0</v>
      </c>
      <c r="J11" s="154">
        <v>0</v>
      </c>
      <c r="K11" s="154">
        <v>0</v>
      </c>
      <c r="L11" s="154">
        <v>0</v>
      </c>
      <c r="M11" s="154">
        <v>0</v>
      </c>
      <c r="N11" s="195">
        <v>5.9449188381280622E-3</v>
      </c>
      <c r="Q11" s="195" t="s">
        <v>312</v>
      </c>
      <c r="R11" s="12">
        <v>0.18073207666664182</v>
      </c>
      <c r="BQ11" s="12"/>
      <c r="BR11" s="12"/>
      <c r="BS11" s="12"/>
      <c r="BT11" s="12"/>
      <c r="BU11" s="12"/>
      <c r="BV11" s="12"/>
      <c r="BW11" s="12"/>
      <c r="BX11" s="12"/>
      <c r="BY11" s="12"/>
      <c r="BZ11" s="12"/>
      <c r="CA11" s="12"/>
      <c r="CB11" s="12"/>
      <c r="CI11" s="144"/>
      <c r="CW11" s="197"/>
    </row>
    <row r="12" spans="1:101" ht="15" thickTop="1" x14ac:dyDescent="0.3">
      <c r="A12" s="108">
        <v>10</v>
      </c>
      <c r="B12" s="109">
        <v>0</v>
      </c>
      <c r="C12" s="109">
        <v>0</v>
      </c>
      <c r="D12" s="109">
        <v>0</v>
      </c>
      <c r="E12" s="109">
        <v>0</v>
      </c>
      <c r="F12" s="109">
        <v>0</v>
      </c>
      <c r="G12" s="109">
        <v>0</v>
      </c>
      <c r="H12" s="109">
        <v>0</v>
      </c>
      <c r="I12" s="109">
        <v>0</v>
      </c>
      <c r="J12" s="109">
        <v>0</v>
      </c>
      <c r="K12" s="109">
        <v>0</v>
      </c>
      <c r="L12" s="109">
        <v>0</v>
      </c>
      <c r="M12" s="109">
        <v>0</v>
      </c>
      <c r="N12">
        <v>0</v>
      </c>
      <c r="Q12" s="195" t="s">
        <v>311</v>
      </c>
      <c r="R12" s="12">
        <v>0.28620974413850542</v>
      </c>
      <c r="Z12" s="141">
        <v>17</v>
      </c>
      <c r="AA12" s="141">
        <v>23</v>
      </c>
      <c r="AB12" s="141">
        <v>68.900000000000006</v>
      </c>
      <c r="AC12" s="141">
        <v>50</v>
      </c>
      <c r="AD12" s="141">
        <v>64.8</v>
      </c>
      <c r="AE12" s="141">
        <v>103</v>
      </c>
      <c r="AF12" s="141">
        <v>62.9</v>
      </c>
      <c r="AG12" s="141">
        <v>114</v>
      </c>
      <c r="AH12" s="141">
        <v>54.4</v>
      </c>
      <c r="AI12" s="141">
        <v>146</v>
      </c>
      <c r="AJ12" s="141">
        <v>73.599999999999994</v>
      </c>
      <c r="AK12" s="141">
        <v>150</v>
      </c>
      <c r="AL12" s="141">
        <v>54.5</v>
      </c>
      <c r="AM12" s="141">
        <v>101</v>
      </c>
      <c r="AN12" s="141">
        <v>52.1</v>
      </c>
      <c r="AO12" s="141">
        <v>106</v>
      </c>
      <c r="AP12" s="141">
        <v>52.4</v>
      </c>
      <c r="AQ12" s="141">
        <v>151</v>
      </c>
      <c r="AR12" s="141">
        <v>56.9</v>
      </c>
      <c r="AS12" s="141">
        <v>153</v>
      </c>
      <c r="AT12" s="141">
        <v>56.4</v>
      </c>
      <c r="AU12" s="141">
        <v>89</v>
      </c>
      <c r="AV12" s="141">
        <v>75.2</v>
      </c>
      <c r="AW12" s="141">
        <v>10</v>
      </c>
      <c r="AX12" s="141">
        <v>84.5</v>
      </c>
      <c r="AY12" s="142">
        <v>1196</v>
      </c>
      <c r="AZ12" s="141">
        <v>59.2</v>
      </c>
      <c r="BB12">
        <v>16</v>
      </c>
      <c r="BC12" s="141">
        <v>53.649635036496349</v>
      </c>
      <c r="BD12" s="141">
        <v>53.649635036496349</v>
      </c>
      <c r="BE12" s="141">
        <v>53.649635036496349</v>
      </c>
      <c r="BF12" s="141">
        <v>42.9</v>
      </c>
      <c r="BG12" s="141">
        <v>62.7</v>
      </c>
      <c r="BH12" s="141">
        <v>40.9</v>
      </c>
      <c r="BI12" s="141">
        <v>33.4</v>
      </c>
      <c r="BJ12" s="141">
        <v>38.6</v>
      </c>
      <c r="BK12" s="141">
        <v>48</v>
      </c>
      <c r="BL12" s="141">
        <v>55.610972568578553</v>
      </c>
      <c r="BM12" s="141">
        <v>55.610972568578553</v>
      </c>
      <c r="BN12">
        <v>55.610972568578553</v>
      </c>
      <c r="BP12" s="195">
        <v>16</v>
      </c>
      <c r="BQ12" s="12">
        <f>BC12/100</f>
        <v>0.53649635036496346</v>
      </c>
      <c r="BR12" s="12">
        <f t="shared" si="10"/>
        <v>0.53649635036496346</v>
      </c>
      <c r="BS12" s="12">
        <f t="shared" si="0"/>
        <v>0.53649635036496346</v>
      </c>
      <c r="BT12" s="12">
        <f t="shared" si="1"/>
        <v>0.42899999999999999</v>
      </c>
      <c r="BU12" s="12">
        <f t="shared" si="2"/>
        <v>0.627</v>
      </c>
      <c r="BV12" s="12">
        <f t="shared" si="3"/>
        <v>0.40899999999999997</v>
      </c>
      <c r="BW12" s="12">
        <f t="shared" si="4"/>
        <v>0.33399999999999996</v>
      </c>
      <c r="BX12" s="12">
        <f t="shared" si="5"/>
        <v>0.38600000000000001</v>
      </c>
      <c r="BY12" s="12">
        <f t="shared" si="6"/>
        <v>0.48</v>
      </c>
      <c r="BZ12" s="12">
        <f t="shared" si="7"/>
        <v>0.55610972568578554</v>
      </c>
      <c r="CA12" s="12">
        <f t="shared" si="8"/>
        <v>0.55610972568578554</v>
      </c>
      <c r="CB12" s="12">
        <f t="shared" si="8"/>
        <v>0.55610972568578554</v>
      </c>
      <c r="CE12" s="195">
        <v>17</v>
      </c>
      <c r="CF12" s="144">
        <v>1196</v>
      </c>
      <c r="CG12" s="195">
        <v>59.2</v>
      </c>
      <c r="CH12" s="195">
        <v>17</v>
      </c>
      <c r="CI12" s="144">
        <v>2301</v>
      </c>
      <c r="CJ12" s="195">
        <v>58</v>
      </c>
      <c r="CK12" s="195">
        <v>17</v>
      </c>
      <c r="CL12" s="195">
        <v>180</v>
      </c>
      <c r="CM12" s="195">
        <v>48.3</v>
      </c>
      <c r="CN12" s="195">
        <v>17</v>
      </c>
      <c r="CO12" s="195">
        <v>22</v>
      </c>
      <c r="CP12" s="195">
        <v>92.4</v>
      </c>
      <c r="CQ12" s="195">
        <v>17</v>
      </c>
      <c r="CR12" s="195">
        <v>61</v>
      </c>
      <c r="CS12" s="195">
        <v>24</v>
      </c>
      <c r="CU12" s="195">
        <v>17</v>
      </c>
      <c r="CV12" s="195">
        <f t="shared" si="11"/>
        <v>3760</v>
      </c>
      <c r="CW12" s="197">
        <f t="shared" si="9"/>
        <v>56.609454983438724</v>
      </c>
    </row>
    <row r="13" spans="1:101" ht="15" thickBot="1" x14ac:dyDescent="0.35">
      <c r="Z13" s="141">
        <v>18</v>
      </c>
      <c r="AA13" s="141">
        <v>23</v>
      </c>
      <c r="AB13" s="141">
        <v>68.900000000000006</v>
      </c>
      <c r="AC13" s="141">
        <v>59</v>
      </c>
      <c r="AD13" s="141">
        <v>75.8</v>
      </c>
      <c r="AE13" s="141">
        <v>103</v>
      </c>
      <c r="AF13" s="141">
        <v>62.9</v>
      </c>
      <c r="AG13" s="141">
        <v>132</v>
      </c>
      <c r="AH13" s="141">
        <v>62.7</v>
      </c>
      <c r="AI13" s="141">
        <v>158</v>
      </c>
      <c r="AJ13" s="141">
        <v>79.5</v>
      </c>
      <c r="AK13" s="141">
        <v>176</v>
      </c>
      <c r="AL13" s="141">
        <v>64.3</v>
      </c>
      <c r="AM13" s="141">
        <v>122</v>
      </c>
      <c r="AN13" s="141">
        <v>62.7</v>
      </c>
      <c r="AO13" s="141">
        <v>127</v>
      </c>
      <c r="AP13" s="141">
        <v>62.7</v>
      </c>
      <c r="AQ13" s="141">
        <v>174</v>
      </c>
      <c r="AR13" s="141">
        <v>65.2</v>
      </c>
      <c r="AS13" s="141">
        <v>170</v>
      </c>
      <c r="AT13" s="141">
        <v>62.6</v>
      </c>
      <c r="AU13" s="141">
        <v>98</v>
      </c>
      <c r="AV13" s="141">
        <v>82.8</v>
      </c>
      <c r="AW13" s="141">
        <v>10</v>
      </c>
      <c r="AX13" s="141">
        <v>84.5</v>
      </c>
      <c r="AY13" s="142">
        <v>1350</v>
      </c>
      <c r="AZ13" s="141">
        <v>66.8</v>
      </c>
      <c r="BB13">
        <v>17</v>
      </c>
      <c r="BC13" s="141">
        <v>64.233576642335763</v>
      </c>
      <c r="BD13" s="141">
        <v>64.233576642335763</v>
      </c>
      <c r="BE13" s="141">
        <v>64.233576642335763</v>
      </c>
      <c r="BF13" s="141">
        <v>54.4</v>
      </c>
      <c r="BG13" s="141">
        <v>73.599999999999994</v>
      </c>
      <c r="BH13" s="141">
        <v>54.5</v>
      </c>
      <c r="BI13" s="141">
        <v>52.1</v>
      </c>
      <c r="BJ13" s="141">
        <v>52.4</v>
      </c>
      <c r="BK13" s="141">
        <v>56.9</v>
      </c>
      <c r="BL13" s="141">
        <v>62.842892768079807</v>
      </c>
      <c r="BM13" s="141">
        <v>62.842892768079807</v>
      </c>
      <c r="BN13">
        <v>62.842892768079807</v>
      </c>
      <c r="BP13" s="195">
        <v>17</v>
      </c>
      <c r="BQ13" s="12">
        <f>BC13/100</f>
        <v>0.64233576642335766</v>
      </c>
      <c r="BR13" s="12">
        <f t="shared" si="10"/>
        <v>0.64233576642335766</v>
      </c>
      <c r="BS13" s="12">
        <f t="shared" si="0"/>
        <v>0.64233576642335766</v>
      </c>
      <c r="BT13" s="12">
        <f t="shared" si="1"/>
        <v>0.54400000000000004</v>
      </c>
      <c r="BU13" s="12">
        <f t="shared" si="2"/>
        <v>0.73599999999999999</v>
      </c>
      <c r="BV13" s="12">
        <f t="shared" si="3"/>
        <v>0.54500000000000004</v>
      </c>
      <c r="BW13" s="12">
        <f t="shared" si="4"/>
        <v>0.52100000000000002</v>
      </c>
      <c r="BX13" s="12">
        <f t="shared" si="5"/>
        <v>0.52400000000000002</v>
      </c>
      <c r="BY13" s="12">
        <f t="shared" si="6"/>
        <v>0.56899999999999995</v>
      </c>
      <c r="BZ13" s="12">
        <f t="shared" si="7"/>
        <v>0.62842892768079806</v>
      </c>
      <c r="CA13" s="12">
        <f t="shared" si="8"/>
        <v>0.62842892768079806</v>
      </c>
      <c r="CB13" s="12">
        <f t="shared" si="8"/>
        <v>0.62842892768079806</v>
      </c>
      <c r="CE13" s="195">
        <v>18</v>
      </c>
      <c r="CF13" s="144">
        <v>1350</v>
      </c>
      <c r="CG13" s="195">
        <v>66.8</v>
      </c>
      <c r="CH13" s="195">
        <v>18</v>
      </c>
      <c r="CI13" s="144">
        <v>2588</v>
      </c>
      <c r="CJ13" s="195">
        <v>65.2</v>
      </c>
      <c r="CK13" s="195">
        <v>18</v>
      </c>
      <c r="CL13" s="195">
        <v>225</v>
      </c>
      <c r="CM13" s="195">
        <v>60.3</v>
      </c>
      <c r="CN13" s="195">
        <v>18</v>
      </c>
      <c r="CO13" s="195">
        <v>22</v>
      </c>
      <c r="CP13" s="195">
        <v>92.4</v>
      </c>
      <c r="CQ13" s="195">
        <v>18</v>
      </c>
      <c r="CR13" s="195">
        <v>61</v>
      </c>
      <c r="CS13" s="195">
        <v>24</v>
      </c>
      <c r="CU13" s="195">
        <v>18</v>
      </c>
      <c r="CV13" s="195">
        <f t="shared" si="11"/>
        <v>4246</v>
      </c>
      <c r="CW13" s="197">
        <f t="shared" si="9"/>
        <v>63.926528154170427</v>
      </c>
    </row>
    <row r="14" spans="1:101" ht="15.6" thickTop="1" thickBot="1" x14ac:dyDescent="0.35">
      <c r="A14" s="60" t="s">
        <v>348</v>
      </c>
      <c r="B14" s="598" t="s">
        <v>333</v>
      </c>
      <c r="C14" s="599"/>
      <c r="D14" s="599"/>
      <c r="E14" s="599"/>
      <c r="F14" s="599"/>
      <c r="G14" s="599"/>
      <c r="H14" s="599"/>
      <c r="I14" s="599"/>
      <c r="J14" s="599"/>
      <c r="K14" s="599"/>
      <c r="L14" s="599"/>
      <c r="M14" s="600"/>
      <c r="Q14" s="195" t="s">
        <v>57</v>
      </c>
      <c r="Z14" s="141">
        <v>19</v>
      </c>
      <c r="AA14" s="141">
        <v>23</v>
      </c>
      <c r="AB14" s="141">
        <v>68.900000000000006</v>
      </c>
      <c r="AC14" s="141">
        <v>59</v>
      </c>
      <c r="AD14" s="141">
        <v>75.8</v>
      </c>
      <c r="AE14" s="141">
        <v>114</v>
      </c>
      <c r="AF14" s="141">
        <v>69.7</v>
      </c>
      <c r="AG14" s="141">
        <v>132</v>
      </c>
      <c r="AH14" s="141">
        <v>62.7</v>
      </c>
      <c r="AI14" s="141">
        <v>163</v>
      </c>
      <c r="AJ14" s="141">
        <v>82.3</v>
      </c>
      <c r="AK14" s="141">
        <v>200</v>
      </c>
      <c r="AL14" s="141">
        <v>72.8</v>
      </c>
      <c r="AM14" s="141">
        <v>126</v>
      </c>
      <c r="AN14" s="141">
        <v>65</v>
      </c>
      <c r="AO14" s="141">
        <v>127</v>
      </c>
      <c r="AP14" s="141">
        <v>62.7</v>
      </c>
      <c r="AQ14" s="141">
        <v>179</v>
      </c>
      <c r="AR14" s="141">
        <v>67.099999999999994</v>
      </c>
      <c r="AS14" s="141">
        <v>175</v>
      </c>
      <c r="AT14" s="141">
        <v>64.400000000000006</v>
      </c>
      <c r="AU14" s="141">
        <v>98</v>
      </c>
      <c r="AV14" s="141">
        <v>82.8</v>
      </c>
      <c r="AW14" s="141">
        <v>10</v>
      </c>
      <c r="AX14" s="141">
        <v>84.5</v>
      </c>
      <c r="AY14" s="142">
        <v>1405</v>
      </c>
      <c r="AZ14" s="141">
        <v>69.5</v>
      </c>
      <c r="BB14">
        <v>18</v>
      </c>
      <c r="BC14" s="141">
        <v>67.518248175182478</v>
      </c>
      <c r="BD14" s="141">
        <v>67.518248175182478</v>
      </c>
      <c r="BE14" s="141">
        <v>67.518248175182478</v>
      </c>
      <c r="BF14" s="141">
        <v>62.7</v>
      </c>
      <c r="BG14" s="141">
        <v>79.5</v>
      </c>
      <c r="BH14" s="141">
        <v>64.3</v>
      </c>
      <c r="BI14" s="141">
        <v>62.7</v>
      </c>
      <c r="BJ14" s="141">
        <v>62.7</v>
      </c>
      <c r="BK14" s="141">
        <v>65.2</v>
      </c>
      <c r="BL14" s="141">
        <v>69.326683291770578</v>
      </c>
      <c r="BM14" s="141">
        <v>69.326683291770578</v>
      </c>
      <c r="BN14">
        <v>69.326683291770578</v>
      </c>
      <c r="BP14" s="195">
        <v>18</v>
      </c>
      <c r="BQ14" s="12">
        <f>BC14/100</f>
        <v>0.67518248175182483</v>
      </c>
      <c r="BR14" s="12">
        <f t="shared" si="10"/>
        <v>0.67518248175182483</v>
      </c>
      <c r="BS14" s="12">
        <f t="shared" si="0"/>
        <v>0.67518248175182483</v>
      </c>
      <c r="BT14" s="12">
        <f t="shared" si="1"/>
        <v>0.627</v>
      </c>
      <c r="BU14" s="12">
        <f t="shared" si="2"/>
        <v>0.79500000000000004</v>
      </c>
      <c r="BV14" s="12">
        <f t="shared" si="3"/>
        <v>0.64300000000000002</v>
      </c>
      <c r="BW14" s="12">
        <f t="shared" si="4"/>
        <v>0.627</v>
      </c>
      <c r="BX14" s="12">
        <f t="shared" si="5"/>
        <v>0.627</v>
      </c>
      <c r="BY14" s="12">
        <f t="shared" si="6"/>
        <v>0.65200000000000002</v>
      </c>
      <c r="BZ14" s="12">
        <f t="shared" si="7"/>
        <v>0.69326683291770574</v>
      </c>
      <c r="CA14" s="12">
        <f t="shared" si="8"/>
        <v>0.69326683291770574</v>
      </c>
      <c r="CB14" s="12">
        <f t="shared" si="8"/>
        <v>0.69326683291770574</v>
      </c>
      <c r="CE14" s="195">
        <v>19</v>
      </c>
      <c r="CF14" s="144">
        <v>1405</v>
      </c>
      <c r="CG14" s="195">
        <v>69.5</v>
      </c>
      <c r="CH14" s="195">
        <v>19</v>
      </c>
      <c r="CI14" s="144">
        <v>2754</v>
      </c>
      <c r="CJ14" s="195">
        <v>69.400000000000006</v>
      </c>
      <c r="CK14" s="195">
        <v>19</v>
      </c>
      <c r="CL14" s="195">
        <v>244</v>
      </c>
      <c r="CM14" s="195">
        <v>65.5</v>
      </c>
      <c r="CN14" s="195">
        <v>19</v>
      </c>
      <c r="CO14" s="195">
        <v>22</v>
      </c>
      <c r="CP14" s="195">
        <v>92.4</v>
      </c>
      <c r="CQ14" s="195">
        <v>19</v>
      </c>
      <c r="CR14" s="195">
        <v>61</v>
      </c>
      <c r="CS14" s="195">
        <v>24</v>
      </c>
      <c r="CU14" s="195">
        <v>19</v>
      </c>
      <c r="CV14" s="195">
        <f t="shared" si="11"/>
        <v>4486</v>
      </c>
      <c r="CW14" s="197">
        <f t="shared" si="9"/>
        <v>67.539897621198435</v>
      </c>
    </row>
    <row r="15" spans="1:101" ht="15.6" thickTop="1" thickBot="1" x14ac:dyDescent="0.35">
      <c r="A15" s="61" t="s">
        <v>171</v>
      </c>
      <c r="B15" s="86">
        <v>1</v>
      </c>
      <c r="C15" s="87">
        <v>2</v>
      </c>
      <c r="D15" s="87">
        <v>3</v>
      </c>
      <c r="E15" s="221">
        <v>4</v>
      </c>
      <c r="F15" s="221">
        <v>5</v>
      </c>
      <c r="G15" s="221">
        <v>6</v>
      </c>
      <c r="H15" s="221">
        <v>7</v>
      </c>
      <c r="I15" s="221">
        <v>8</v>
      </c>
      <c r="J15" s="221">
        <v>9</v>
      </c>
      <c r="K15" s="88">
        <v>10</v>
      </c>
      <c r="L15" s="88">
        <v>11</v>
      </c>
      <c r="M15" s="222">
        <v>12</v>
      </c>
      <c r="Q15" s="195" t="s">
        <v>316</v>
      </c>
      <c r="R15" s="12">
        <v>0</v>
      </c>
      <c r="Z15" s="40">
        <v>20</v>
      </c>
      <c r="AA15" s="40">
        <v>29</v>
      </c>
      <c r="AB15" s="40">
        <v>86</v>
      </c>
      <c r="AC15" s="40">
        <v>59</v>
      </c>
      <c r="AD15" s="40">
        <v>75.8</v>
      </c>
      <c r="AE15" s="40">
        <v>120</v>
      </c>
      <c r="AF15" s="40">
        <v>73.5</v>
      </c>
      <c r="AG15" s="40">
        <v>157</v>
      </c>
      <c r="AH15" s="40">
        <v>74.7</v>
      </c>
      <c r="AI15" s="40">
        <v>163</v>
      </c>
      <c r="AJ15" s="40">
        <v>82.3</v>
      </c>
      <c r="AK15" s="40">
        <v>217</v>
      </c>
      <c r="AL15" s="40">
        <v>78.900000000000006</v>
      </c>
      <c r="AM15" s="40">
        <v>143</v>
      </c>
      <c r="AN15" s="40">
        <v>73.8</v>
      </c>
      <c r="AO15" s="40">
        <v>127</v>
      </c>
      <c r="AP15" s="40">
        <v>62.7</v>
      </c>
      <c r="AQ15" s="40">
        <v>185</v>
      </c>
      <c r="AR15" s="40">
        <v>69.400000000000006</v>
      </c>
      <c r="AS15" s="40">
        <v>187</v>
      </c>
      <c r="AT15" s="40">
        <v>68.900000000000006</v>
      </c>
      <c r="AU15" s="40">
        <v>98</v>
      </c>
      <c r="AV15" s="40">
        <v>82.8</v>
      </c>
      <c r="AW15" s="40">
        <v>10</v>
      </c>
      <c r="AX15" s="40">
        <v>84.5</v>
      </c>
      <c r="AY15" s="139">
        <v>1494</v>
      </c>
      <c r="AZ15" s="40">
        <v>73.900000000000006</v>
      </c>
      <c r="BB15">
        <v>19</v>
      </c>
      <c r="BC15" s="141">
        <v>71.532846715328475</v>
      </c>
      <c r="BD15" s="141">
        <v>71.532846715328475</v>
      </c>
      <c r="BE15" s="141">
        <v>71.532846715328475</v>
      </c>
      <c r="BF15" s="141">
        <v>62.7</v>
      </c>
      <c r="BG15" s="141">
        <v>82.3</v>
      </c>
      <c r="BH15" s="141">
        <v>72.8</v>
      </c>
      <c r="BI15" s="141">
        <v>65</v>
      </c>
      <c r="BJ15" s="141">
        <v>62.7</v>
      </c>
      <c r="BK15" s="141">
        <v>67.099999999999994</v>
      </c>
      <c r="BL15" s="141">
        <v>70.573566084788027</v>
      </c>
      <c r="BM15" s="141">
        <v>70.573566084788027</v>
      </c>
      <c r="BN15">
        <v>70.573566084788027</v>
      </c>
      <c r="BP15" s="195">
        <v>19</v>
      </c>
      <c r="BQ15" s="12">
        <f>BC15/100</f>
        <v>0.7153284671532848</v>
      </c>
      <c r="BR15" s="12">
        <f t="shared" si="10"/>
        <v>0.7153284671532848</v>
      </c>
      <c r="BS15" s="12">
        <f t="shared" si="0"/>
        <v>0.7153284671532848</v>
      </c>
      <c r="BT15" s="12">
        <f t="shared" si="1"/>
        <v>0.627</v>
      </c>
      <c r="BU15" s="12">
        <f t="shared" si="2"/>
        <v>0.82299999999999995</v>
      </c>
      <c r="BV15" s="12">
        <f t="shared" si="3"/>
        <v>0.72799999999999998</v>
      </c>
      <c r="BW15" s="12">
        <f t="shared" si="4"/>
        <v>0.65</v>
      </c>
      <c r="BX15" s="12">
        <f t="shared" si="5"/>
        <v>0.627</v>
      </c>
      <c r="BY15" s="12">
        <f t="shared" si="6"/>
        <v>0.67099999999999993</v>
      </c>
      <c r="BZ15" s="12">
        <f t="shared" si="7"/>
        <v>0.70573566084788031</v>
      </c>
      <c r="CA15" s="12">
        <f t="shared" si="8"/>
        <v>0.70573566084788031</v>
      </c>
      <c r="CB15" s="12">
        <f t="shared" si="8"/>
        <v>0.70573566084788031</v>
      </c>
      <c r="CE15" s="40">
        <v>20</v>
      </c>
      <c r="CF15" s="139">
        <v>1494</v>
      </c>
      <c r="CG15" s="40">
        <v>73.900000000000006</v>
      </c>
      <c r="CH15" s="195">
        <v>20</v>
      </c>
      <c r="CI15" s="144">
        <v>2884</v>
      </c>
      <c r="CJ15" s="195">
        <v>72.599999999999994</v>
      </c>
      <c r="CK15" s="195">
        <v>20</v>
      </c>
      <c r="CL15" s="195">
        <v>250</v>
      </c>
      <c r="CM15" s="195">
        <v>67</v>
      </c>
      <c r="CN15" s="195">
        <v>20</v>
      </c>
      <c r="CO15" s="195">
        <v>22</v>
      </c>
      <c r="CP15" s="195">
        <v>92.4</v>
      </c>
      <c r="CQ15" s="195">
        <v>20</v>
      </c>
      <c r="CR15" s="195">
        <v>61</v>
      </c>
      <c r="CS15" s="195">
        <v>24</v>
      </c>
      <c r="CU15" s="195">
        <v>20</v>
      </c>
      <c r="CV15" s="195">
        <f t="shared" si="11"/>
        <v>4711</v>
      </c>
      <c r="CW15" s="197">
        <f t="shared" si="9"/>
        <v>70.927431496537181</v>
      </c>
    </row>
    <row r="16" spans="1:101" ht="15.6" thickTop="1" thickBot="1" x14ac:dyDescent="0.35">
      <c r="A16" s="137">
        <v>1</v>
      </c>
      <c r="B16" s="110">
        <v>0</v>
      </c>
      <c r="C16" s="110">
        <v>0</v>
      </c>
      <c r="D16" s="110">
        <v>0</v>
      </c>
      <c r="E16" s="110">
        <v>0</v>
      </c>
      <c r="F16" s="110">
        <v>0</v>
      </c>
      <c r="G16" s="110">
        <v>0</v>
      </c>
      <c r="H16" s="110">
        <v>0</v>
      </c>
      <c r="I16" s="110">
        <v>0</v>
      </c>
      <c r="J16" s="110">
        <v>0</v>
      </c>
      <c r="K16" s="110">
        <v>0</v>
      </c>
      <c r="L16" s="110">
        <v>0</v>
      </c>
      <c r="M16" s="110">
        <v>0</v>
      </c>
      <c r="Q16" s="195" t="s">
        <v>312</v>
      </c>
      <c r="R16" s="12">
        <v>0.18073207666664182</v>
      </c>
      <c r="Z16" s="141">
        <v>21</v>
      </c>
      <c r="AA16" s="141">
        <v>29</v>
      </c>
      <c r="AB16" s="141">
        <v>86</v>
      </c>
      <c r="AC16" s="141">
        <v>59</v>
      </c>
      <c r="AD16" s="141">
        <v>75.8</v>
      </c>
      <c r="AE16" s="141">
        <v>126</v>
      </c>
      <c r="AF16" s="141">
        <v>77.400000000000006</v>
      </c>
      <c r="AG16" s="141">
        <v>180</v>
      </c>
      <c r="AH16" s="141">
        <v>85.9</v>
      </c>
      <c r="AI16" s="141">
        <v>163</v>
      </c>
      <c r="AJ16" s="141">
        <v>82.3</v>
      </c>
      <c r="AK16" s="141">
        <v>223</v>
      </c>
      <c r="AL16" s="141">
        <v>81.3</v>
      </c>
      <c r="AM16" s="141">
        <v>149</v>
      </c>
      <c r="AN16" s="141">
        <v>76.900000000000006</v>
      </c>
      <c r="AO16" s="141">
        <v>127</v>
      </c>
      <c r="AP16" s="141">
        <v>62.7</v>
      </c>
      <c r="AQ16" s="141">
        <v>191</v>
      </c>
      <c r="AR16" s="141">
        <v>71.8</v>
      </c>
      <c r="AS16" s="141">
        <v>202</v>
      </c>
      <c r="AT16" s="141">
        <v>74.400000000000006</v>
      </c>
      <c r="AU16" s="141">
        <v>98</v>
      </c>
      <c r="AV16" s="141">
        <v>82.8</v>
      </c>
      <c r="AW16" s="141">
        <v>10</v>
      </c>
      <c r="AX16" s="141">
        <v>84.5</v>
      </c>
      <c r="AY16" s="142">
        <v>1558</v>
      </c>
      <c r="AZ16" s="141">
        <v>77.099999999999994</v>
      </c>
      <c r="BB16">
        <v>20</v>
      </c>
      <c r="BC16">
        <v>75.912408759124077</v>
      </c>
      <c r="BD16">
        <v>75.912408759124077</v>
      </c>
      <c r="BE16">
        <v>75.912408759124077</v>
      </c>
      <c r="BF16">
        <v>74.7</v>
      </c>
      <c r="BG16">
        <v>82.3</v>
      </c>
      <c r="BH16">
        <v>78.900000000000006</v>
      </c>
      <c r="BI16">
        <v>73.8</v>
      </c>
      <c r="BJ16">
        <v>62.7</v>
      </c>
      <c r="BK16">
        <v>69.400000000000006</v>
      </c>
      <c r="BL16">
        <v>73.566084788029926</v>
      </c>
      <c r="BM16">
        <v>73.566084788029926</v>
      </c>
      <c r="BN16">
        <v>73.566084788029926</v>
      </c>
      <c r="BP16" s="195">
        <v>20</v>
      </c>
      <c r="BQ16" s="12">
        <f>BC16/100</f>
        <v>0.75912408759124073</v>
      </c>
      <c r="BR16" s="12">
        <f t="shared" si="10"/>
        <v>0.75912408759124073</v>
      </c>
      <c r="BS16" s="12">
        <f t="shared" si="0"/>
        <v>0.75912408759124073</v>
      </c>
      <c r="BT16" s="12">
        <f t="shared" si="1"/>
        <v>0.747</v>
      </c>
      <c r="BU16" s="12">
        <f t="shared" si="2"/>
        <v>0.82299999999999995</v>
      </c>
      <c r="BV16" s="12">
        <f t="shared" si="3"/>
        <v>0.78900000000000003</v>
      </c>
      <c r="BW16" s="12">
        <f t="shared" si="4"/>
        <v>0.73799999999999999</v>
      </c>
      <c r="BX16" s="12">
        <f t="shared" si="5"/>
        <v>0.627</v>
      </c>
      <c r="BY16" s="12">
        <f t="shared" si="6"/>
        <v>0.69400000000000006</v>
      </c>
      <c r="BZ16" s="12">
        <f t="shared" si="7"/>
        <v>0.73566084788029928</v>
      </c>
      <c r="CA16" s="12">
        <f t="shared" si="8"/>
        <v>0.73566084788029928</v>
      </c>
      <c r="CB16" s="12">
        <f>BN16/100</f>
        <v>0.73566084788029928</v>
      </c>
      <c r="CG16" s="12"/>
      <c r="CH16" s="195">
        <v>21</v>
      </c>
      <c r="CI16" s="144">
        <v>2971</v>
      </c>
      <c r="CJ16" s="195">
        <v>74.8</v>
      </c>
      <c r="CK16" s="195">
        <v>21</v>
      </c>
      <c r="CL16" s="195">
        <v>271</v>
      </c>
      <c r="CM16" s="195">
        <v>72.5</v>
      </c>
      <c r="CN16" s="195">
        <v>21</v>
      </c>
      <c r="CO16" s="195">
        <v>22</v>
      </c>
      <c r="CP16" s="195">
        <v>92.4</v>
      </c>
      <c r="CQ16" s="195">
        <v>21</v>
      </c>
      <c r="CR16" s="195">
        <v>61</v>
      </c>
      <c r="CS16" s="195">
        <v>24</v>
      </c>
      <c r="CU16" s="195">
        <v>21</v>
      </c>
      <c r="CV16" s="195">
        <f t="shared" si="11"/>
        <v>3325</v>
      </c>
      <c r="CW16" s="197">
        <f t="shared" si="9"/>
        <v>50.060222824450463</v>
      </c>
    </row>
    <row r="17" spans="1:110" s="147" customFormat="1" ht="15.6" thickTop="1" thickBot="1" x14ac:dyDescent="0.35">
      <c r="A17" s="138">
        <v>2</v>
      </c>
      <c r="B17" s="110">
        <v>0.18073207666664182</v>
      </c>
      <c r="C17" s="110">
        <v>0.18073207666664182</v>
      </c>
      <c r="D17" s="110">
        <v>0.18073207666664182</v>
      </c>
      <c r="E17" s="110">
        <v>0.18073207666664182</v>
      </c>
      <c r="F17" s="110">
        <v>0.18073207666664182</v>
      </c>
      <c r="G17" s="110">
        <v>0.18073207666664182</v>
      </c>
      <c r="H17" s="110">
        <v>0.18073207666664182</v>
      </c>
      <c r="I17" s="110">
        <v>0.18073207666664182</v>
      </c>
      <c r="J17" s="110">
        <v>0.18073207666664182</v>
      </c>
      <c r="K17" s="110">
        <v>0.18073207666664182</v>
      </c>
      <c r="L17" s="110">
        <v>0.18073207666664182</v>
      </c>
      <c r="M17" s="110">
        <v>0.18073207666664182</v>
      </c>
      <c r="O17" s="195"/>
      <c r="Q17" s="147" t="s">
        <v>311</v>
      </c>
      <c r="R17" s="12">
        <v>0.28620974413850542</v>
      </c>
      <c r="X17" s="195"/>
      <c r="AY17" s="144"/>
      <c r="CG17" s="12"/>
      <c r="CH17" s="195">
        <v>22</v>
      </c>
      <c r="CI17" s="144">
        <v>3004</v>
      </c>
      <c r="CJ17" s="195">
        <v>75.7</v>
      </c>
      <c r="CK17" s="195">
        <v>22</v>
      </c>
      <c r="CL17" s="195">
        <v>271</v>
      </c>
      <c r="CM17" s="195">
        <v>72.5</v>
      </c>
      <c r="CN17" s="195">
        <v>22</v>
      </c>
      <c r="CO17" s="195">
        <v>22</v>
      </c>
      <c r="CP17" s="195">
        <v>92.4</v>
      </c>
      <c r="CQ17" s="195">
        <v>22</v>
      </c>
      <c r="CR17" s="195">
        <v>61</v>
      </c>
      <c r="CS17" s="195">
        <v>24</v>
      </c>
      <c r="CU17" s="195">
        <v>22</v>
      </c>
      <c r="CV17" s="195">
        <f t="shared" si="11"/>
        <v>3358</v>
      </c>
      <c r="CW17" s="197">
        <f t="shared" si="9"/>
        <v>50.557061126166815</v>
      </c>
    </row>
    <row r="18" spans="1:110" ht="15.6" thickTop="1" thickBot="1" x14ac:dyDescent="0.35">
      <c r="A18" s="138">
        <v>3</v>
      </c>
      <c r="B18" s="110">
        <v>0.28620974413850542</v>
      </c>
      <c r="C18" s="110">
        <v>0.28620974413850542</v>
      </c>
      <c r="D18" s="110">
        <v>0.28620974413850542</v>
      </c>
      <c r="E18" s="110">
        <v>0.28620974413850542</v>
      </c>
      <c r="F18" s="110">
        <v>0.28620974413850542</v>
      </c>
      <c r="G18" s="110">
        <v>0.28620974413850542</v>
      </c>
      <c r="H18" s="110">
        <v>0.28620974413850542</v>
      </c>
      <c r="I18" s="110">
        <v>0.28620974413850542</v>
      </c>
      <c r="J18" s="110">
        <v>0.28620974413850542</v>
      </c>
      <c r="K18" s="110">
        <v>0.28620974413850542</v>
      </c>
      <c r="L18" s="110">
        <v>0.28620974413850542</v>
      </c>
      <c r="M18" s="110">
        <v>0.28620974413850542</v>
      </c>
      <c r="Z18" s="141">
        <v>22</v>
      </c>
      <c r="AA18" s="141">
        <v>29</v>
      </c>
      <c r="AB18" s="141">
        <v>86</v>
      </c>
      <c r="AC18" s="141">
        <v>59</v>
      </c>
      <c r="AD18" s="141">
        <v>75.8</v>
      </c>
      <c r="AE18" s="141">
        <v>126</v>
      </c>
      <c r="AF18" s="141">
        <v>77.400000000000006</v>
      </c>
      <c r="AG18" s="141">
        <v>180</v>
      </c>
      <c r="AH18" s="141">
        <v>85.9</v>
      </c>
      <c r="AI18" s="141">
        <v>163</v>
      </c>
      <c r="AJ18" s="141">
        <v>82.3</v>
      </c>
      <c r="AK18" s="141">
        <v>223</v>
      </c>
      <c r="AL18" s="141">
        <v>81.3</v>
      </c>
      <c r="AM18" s="141">
        <v>149</v>
      </c>
      <c r="AN18" s="141">
        <v>76.900000000000006</v>
      </c>
      <c r="AO18" s="141">
        <v>127</v>
      </c>
      <c r="AP18" s="141">
        <v>62.7</v>
      </c>
      <c r="AQ18" s="141">
        <v>191</v>
      </c>
      <c r="AR18" s="141">
        <v>71.8</v>
      </c>
      <c r="AS18" s="141">
        <v>219</v>
      </c>
      <c r="AT18" s="141">
        <v>80.5</v>
      </c>
      <c r="AU18" s="141">
        <v>98</v>
      </c>
      <c r="AV18" s="141">
        <v>82.8</v>
      </c>
      <c r="AW18" s="141">
        <v>10</v>
      </c>
      <c r="AX18" s="141">
        <v>84.5</v>
      </c>
      <c r="AY18" s="142">
        <v>1574</v>
      </c>
      <c r="AZ18" s="141">
        <v>77.900000000000006</v>
      </c>
      <c r="CH18" s="195">
        <v>23</v>
      </c>
      <c r="CI18" s="144">
        <v>3013</v>
      </c>
      <c r="CJ18" s="195">
        <v>75.900000000000006</v>
      </c>
      <c r="CK18" s="195">
        <v>23</v>
      </c>
      <c r="CL18" s="195">
        <v>271</v>
      </c>
      <c r="CM18" s="195">
        <v>72.5</v>
      </c>
      <c r="CN18" s="195">
        <v>23</v>
      </c>
      <c r="CO18" s="195">
        <v>22</v>
      </c>
      <c r="CP18" s="195">
        <v>92.4</v>
      </c>
      <c r="CQ18" s="195">
        <v>23</v>
      </c>
      <c r="CR18" s="195">
        <v>61</v>
      </c>
      <c r="CS18" s="195">
        <v>24</v>
      </c>
      <c r="CU18" s="195">
        <v>23</v>
      </c>
      <c r="CV18" s="195">
        <f t="shared" si="11"/>
        <v>3367</v>
      </c>
      <c r="CW18" s="197">
        <f t="shared" si="9"/>
        <v>50.692562481180367</v>
      </c>
    </row>
    <row r="19" spans="1:110" ht="15.6" thickTop="1" thickBot="1" x14ac:dyDescent="0.35">
      <c r="A19" s="108">
        <v>4</v>
      </c>
      <c r="B19" s="110">
        <v>0</v>
      </c>
      <c r="C19" s="110">
        <v>0</v>
      </c>
      <c r="D19" s="110">
        <v>0</v>
      </c>
      <c r="E19" s="110">
        <v>0</v>
      </c>
      <c r="F19" s="110">
        <v>0</v>
      </c>
      <c r="G19" s="110">
        <v>0</v>
      </c>
      <c r="H19" s="110">
        <v>0</v>
      </c>
      <c r="I19" s="110">
        <v>0</v>
      </c>
      <c r="J19" s="110">
        <v>0</v>
      </c>
      <c r="K19" s="110">
        <v>0</v>
      </c>
      <c r="L19" s="110">
        <v>0</v>
      </c>
      <c r="M19" s="110">
        <v>0</v>
      </c>
      <c r="Z19" s="141">
        <v>23</v>
      </c>
      <c r="AA19" s="141">
        <v>29</v>
      </c>
      <c r="AB19" s="141">
        <v>86</v>
      </c>
      <c r="AC19" s="141">
        <v>59</v>
      </c>
      <c r="AD19" s="141">
        <v>75.8</v>
      </c>
      <c r="AE19" s="141">
        <v>126</v>
      </c>
      <c r="AF19" s="141">
        <v>77.400000000000006</v>
      </c>
      <c r="AG19" s="141">
        <v>180</v>
      </c>
      <c r="AH19" s="141">
        <v>85.9</v>
      </c>
      <c r="AI19" s="141">
        <v>163</v>
      </c>
      <c r="AJ19" s="141">
        <v>82.3</v>
      </c>
      <c r="AK19" s="141">
        <v>223</v>
      </c>
      <c r="AL19" s="141">
        <v>81.3</v>
      </c>
      <c r="AM19" s="141">
        <v>149</v>
      </c>
      <c r="AN19" s="141">
        <v>76.900000000000006</v>
      </c>
      <c r="AO19" s="141">
        <v>127</v>
      </c>
      <c r="AP19" s="141">
        <v>62.7</v>
      </c>
      <c r="AQ19" s="141">
        <v>191</v>
      </c>
      <c r="AR19" s="141">
        <v>71.8</v>
      </c>
      <c r="AS19" s="141">
        <v>219</v>
      </c>
      <c r="AT19" s="141">
        <v>80.5</v>
      </c>
      <c r="AU19" s="141">
        <v>98</v>
      </c>
      <c r="AV19" s="141">
        <v>82.8</v>
      </c>
      <c r="AW19" s="141">
        <v>10</v>
      </c>
      <c r="AX19" s="141">
        <v>84.5</v>
      </c>
      <c r="AY19" s="142">
        <v>1574</v>
      </c>
      <c r="AZ19" s="141">
        <v>77.900000000000006</v>
      </c>
      <c r="CH19" s="195">
        <v>24</v>
      </c>
      <c r="CI19" s="144">
        <v>3013</v>
      </c>
      <c r="CJ19" s="195">
        <v>75.900000000000006</v>
      </c>
      <c r="CK19" s="195">
        <v>24</v>
      </c>
      <c r="CL19" s="195">
        <v>271</v>
      </c>
      <c r="CM19" s="195">
        <v>72.5</v>
      </c>
      <c r="CN19" s="195">
        <v>24</v>
      </c>
      <c r="CO19" s="195">
        <v>22</v>
      </c>
      <c r="CP19" s="195">
        <v>92.4</v>
      </c>
      <c r="CQ19" s="195">
        <v>24</v>
      </c>
      <c r="CR19" s="195">
        <v>61</v>
      </c>
      <c r="CS19" s="195">
        <v>24</v>
      </c>
      <c r="CU19" s="195">
        <v>24</v>
      </c>
      <c r="CV19" s="195">
        <f t="shared" si="11"/>
        <v>3367</v>
      </c>
      <c r="CW19" s="197">
        <f t="shared" si="9"/>
        <v>50.692562481180367</v>
      </c>
    </row>
    <row r="20" spans="1:110" ht="15.6" thickTop="1" thickBot="1" x14ac:dyDescent="0.35">
      <c r="A20" s="108">
        <v>5</v>
      </c>
      <c r="B20" s="110">
        <v>0</v>
      </c>
      <c r="C20" s="110">
        <v>0</v>
      </c>
      <c r="D20" s="110">
        <v>0</v>
      </c>
      <c r="E20" s="110">
        <v>0</v>
      </c>
      <c r="F20" s="110">
        <v>0</v>
      </c>
      <c r="G20" s="110">
        <v>0</v>
      </c>
      <c r="H20" s="110">
        <v>0</v>
      </c>
      <c r="I20" s="110">
        <v>0</v>
      </c>
      <c r="J20" s="110">
        <v>0</v>
      </c>
      <c r="K20" s="110">
        <v>0</v>
      </c>
      <c r="L20" s="110">
        <v>0</v>
      </c>
      <c r="M20" s="110">
        <v>0</v>
      </c>
      <c r="Z20" s="141">
        <v>24</v>
      </c>
      <c r="AA20" s="141">
        <v>29</v>
      </c>
      <c r="AB20" s="141">
        <v>86</v>
      </c>
      <c r="AC20" s="141">
        <v>59</v>
      </c>
      <c r="AD20" s="141">
        <v>75.8</v>
      </c>
      <c r="AE20" s="141">
        <v>126</v>
      </c>
      <c r="AF20" s="141">
        <v>77.400000000000006</v>
      </c>
      <c r="AG20" s="141">
        <v>180</v>
      </c>
      <c r="AH20" s="141">
        <v>85.9</v>
      </c>
      <c r="AI20" s="141">
        <v>163</v>
      </c>
      <c r="AJ20" s="141">
        <v>82.3</v>
      </c>
      <c r="AK20" s="141">
        <v>223</v>
      </c>
      <c r="AL20" s="141">
        <v>81.3</v>
      </c>
      <c r="AM20" s="141">
        <v>149</v>
      </c>
      <c r="AN20" s="141">
        <v>76.900000000000006</v>
      </c>
      <c r="AO20" s="141">
        <v>127</v>
      </c>
      <c r="AP20" s="141">
        <v>62.7</v>
      </c>
      <c r="AQ20" s="141">
        <v>191</v>
      </c>
      <c r="AR20" s="141">
        <v>71.8</v>
      </c>
      <c r="AS20" s="141">
        <v>219</v>
      </c>
      <c r="AT20" s="141">
        <v>80.5</v>
      </c>
      <c r="AU20" s="141">
        <v>98</v>
      </c>
      <c r="AV20" s="141">
        <v>82.8</v>
      </c>
      <c r="AW20" s="141">
        <v>10</v>
      </c>
      <c r="AX20" s="141">
        <v>84.5</v>
      </c>
      <c r="AY20" s="142">
        <v>1574</v>
      </c>
      <c r="AZ20" s="141">
        <v>77.900000000000006</v>
      </c>
      <c r="CG20" s="12"/>
      <c r="CH20" s="195">
        <v>25</v>
      </c>
      <c r="CI20" s="144">
        <v>3013</v>
      </c>
      <c r="CJ20" s="195">
        <v>75.900000000000006</v>
      </c>
      <c r="CK20" s="195">
        <v>25</v>
      </c>
      <c r="CL20" s="195">
        <v>271</v>
      </c>
      <c r="CM20" s="195">
        <v>72.5</v>
      </c>
      <c r="CN20" s="195">
        <v>25</v>
      </c>
      <c r="CO20" s="195">
        <v>22</v>
      </c>
      <c r="CP20" s="195">
        <v>92.4</v>
      </c>
      <c r="CQ20" s="195">
        <v>25</v>
      </c>
      <c r="CR20" s="195">
        <v>61</v>
      </c>
      <c r="CS20" s="195">
        <v>24</v>
      </c>
      <c r="CU20" s="195">
        <v>25</v>
      </c>
      <c r="CV20" s="195">
        <f t="shared" si="11"/>
        <v>3367</v>
      </c>
      <c r="CW20" s="197">
        <f t="shared" si="9"/>
        <v>50.692562481180367</v>
      </c>
    </row>
    <row r="21" spans="1:110" ht="15.6" thickTop="1" thickBot="1" x14ac:dyDescent="0.35">
      <c r="A21" s="108">
        <v>7</v>
      </c>
      <c r="B21" s="110">
        <v>0</v>
      </c>
      <c r="C21" s="110">
        <v>0</v>
      </c>
      <c r="D21" s="110">
        <v>0</v>
      </c>
      <c r="E21" s="110">
        <v>0</v>
      </c>
      <c r="F21" s="110">
        <v>0</v>
      </c>
      <c r="G21" s="110">
        <v>0</v>
      </c>
      <c r="H21" s="110">
        <v>0</v>
      </c>
      <c r="I21" s="110">
        <v>0</v>
      </c>
      <c r="J21" s="110">
        <v>0</v>
      </c>
      <c r="K21" s="110">
        <v>0</v>
      </c>
      <c r="L21" s="110">
        <v>0</v>
      </c>
      <c r="M21" s="110">
        <v>0</v>
      </c>
      <c r="Z21" s="141">
        <v>25</v>
      </c>
      <c r="AA21" s="141">
        <v>29</v>
      </c>
      <c r="AB21" s="141">
        <v>86</v>
      </c>
      <c r="AC21" s="141">
        <v>59</v>
      </c>
      <c r="AD21" s="141">
        <v>75.8</v>
      </c>
      <c r="AE21" s="141">
        <v>126</v>
      </c>
      <c r="AF21" s="141">
        <v>77.400000000000006</v>
      </c>
      <c r="AG21" s="141">
        <v>180</v>
      </c>
      <c r="AH21" s="141">
        <v>85.9</v>
      </c>
      <c r="AI21" s="141">
        <v>163</v>
      </c>
      <c r="AJ21" s="141">
        <v>82.3</v>
      </c>
      <c r="AK21" s="141">
        <v>223</v>
      </c>
      <c r="AL21" s="141">
        <v>81.3</v>
      </c>
      <c r="AM21" s="141">
        <v>162</v>
      </c>
      <c r="AN21" s="141">
        <v>83.5</v>
      </c>
      <c r="AO21" s="141">
        <v>127</v>
      </c>
      <c r="AP21" s="141">
        <v>62.7</v>
      </c>
      <c r="AQ21" s="141">
        <v>191</v>
      </c>
      <c r="AR21" s="141">
        <v>71.8</v>
      </c>
      <c r="AS21" s="141">
        <v>219</v>
      </c>
      <c r="AT21" s="141">
        <v>80.5</v>
      </c>
      <c r="AU21" s="141">
        <v>98</v>
      </c>
      <c r="AV21" s="141">
        <v>82.8</v>
      </c>
      <c r="AW21" s="141">
        <v>10</v>
      </c>
      <c r="AX21" s="141">
        <v>84.5</v>
      </c>
      <c r="AY21" s="142">
        <v>1587</v>
      </c>
      <c r="AZ21" s="141">
        <v>78.5</v>
      </c>
      <c r="CG21" s="12"/>
      <c r="CH21" s="12"/>
      <c r="CI21" s="12"/>
      <c r="CJ21" s="12"/>
      <c r="CK21" s="12"/>
      <c r="CL21" s="12"/>
      <c r="CM21" s="12"/>
    </row>
    <row r="22" spans="1:110" ht="16.8" thickTop="1" thickBot="1" x14ac:dyDescent="0.35">
      <c r="A22" s="108">
        <v>8</v>
      </c>
      <c r="B22" s="110">
        <v>0</v>
      </c>
      <c r="C22" s="110">
        <v>0</v>
      </c>
      <c r="D22" s="110">
        <v>0</v>
      </c>
      <c r="E22" s="110">
        <v>0</v>
      </c>
      <c r="F22" s="110">
        <v>0</v>
      </c>
      <c r="G22" s="110">
        <v>0</v>
      </c>
      <c r="H22" s="110">
        <v>0</v>
      </c>
      <c r="I22" s="110">
        <v>0</v>
      </c>
      <c r="J22" s="110">
        <v>0</v>
      </c>
      <c r="K22" s="110">
        <v>0</v>
      </c>
      <c r="L22" s="110">
        <v>0</v>
      </c>
      <c r="M22" s="110">
        <v>0</v>
      </c>
      <c r="BC22" s="133" t="s">
        <v>74</v>
      </c>
      <c r="CG22" s="12"/>
      <c r="CH22" s="12"/>
      <c r="CI22" s="12"/>
      <c r="CJ22" s="12"/>
      <c r="CK22" s="12"/>
      <c r="CL22" s="12"/>
      <c r="CM22" s="12"/>
      <c r="CN22" s="12"/>
      <c r="CO22" s="12"/>
      <c r="CP22" s="12"/>
      <c r="CQ22" s="12"/>
      <c r="CR22" s="12"/>
    </row>
    <row r="23" spans="1:110" ht="16.2" thickTop="1" x14ac:dyDescent="0.3">
      <c r="A23" s="108">
        <v>9</v>
      </c>
      <c r="B23" s="110">
        <v>0</v>
      </c>
      <c r="C23" s="110">
        <v>0</v>
      </c>
      <c r="D23" s="110">
        <v>0</v>
      </c>
      <c r="E23" s="110">
        <v>0</v>
      </c>
      <c r="F23" s="110">
        <v>0</v>
      </c>
      <c r="G23" s="110">
        <v>0</v>
      </c>
      <c r="H23" s="110">
        <v>0</v>
      </c>
      <c r="I23" s="110">
        <v>0</v>
      </c>
      <c r="J23" s="110">
        <v>0</v>
      </c>
      <c r="K23" s="110">
        <v>0</v>
      </c>
      <c r="L23" s="110">
        <v>0</v>
      </c>
      <c r="M23" s="110">
        <v>0</v>
      </c>
      <c r="Z23" s="11" t="s">
        <v>70</v>
      </c>
      <c r="AG23" s="190" t="s">
        <v>91</v>
      </c>
      <c r="BC23" s="11" t="s">
        <v>86</v>
      </c>
      <c r="CF23" s="193" t="s">
        <v>99</v>
      </c>
      <c r="CT23" s="214" t="s">
        <v>74</v>
      </c>
      <c r="CU23" s="212"/>
      <c r="CV23" s="212"/>
      <c r="CW23" s="212"/>
      <c r="CX23" s="212"/>
      <c r="CY23" s="212"/>
      <c r="CZ23" s="212"/>
      <c r="DA23" s="212"/>
      <c r="DB23" s="212"/>
      <c r="DC23" s="212"/>
      <c r="DD23" s="212"/>
      <c r="DE23" s="212"/>
      <c r="DF23" s="212"/>
    </row>
    <row r="24" spans="1:110" ht="16.2" thickBot="1" x14ac:dyDescent="0.35">
      <c r="A24" s="108"/>
      <c r="B24" s="89"/>
      <c r="C24" s="90"/>
      <c r="D24" s="90"/>
      <c r="E24" s="90"/>
      <c r="F24" s="90"/>
      <c r="G24" s="90"/>
      <c r="H24" s="90"/>
      <c r="I24" s="90"/>
      <c r="J24" s="90"/>
      <c r="K24" s="90"/>
      <c r="L24" s="90"/>
      <c r="M24" s="91"/>
      <c r="Z24" s="143" t="s">
        <v>43</v>
      </c>
      <c r="AA24" s="143"/>
      <c r="AB24" s="11">
        <v>1</v>
      </c>
      <c r="AC24" s="190">
        <v>32</v>
      </c>
      <c r="AD24" s="11">
        <v>2</v>
      </c>
      <c r="AE24" s="190">
        <v>6</v>
      </c>
      <c r="AF24" s="11">
        <v>3</v>
      </c>
      <c r="AG24" s="143">
        <v>95</v>
      </c>
      <c r="AH24" s="11">
        <v>4</v>
      </c>
      <c r="AI24" s="143">
        <v>198</v>
      </c>
      <c r="AJ24" s="11">
        <v>5</v>
      </c>
      <c r="AK24" s="143">
        <v>223</v>
      </c>
      <c r="AL24" s="11">
        <v>6</v>
      </c>
      <c r="AM24" s="143">
        <v>88</v>
      </c>
      <c r="AN24" s="11">
        <v>7</v>
      </c>
      <c r="AO24" s="143">
        <v>119</v>
      </c>
      <c r="AP24" s="11">
        <v>8</v>
      </c>
      <c r="AQ24" s="143">
        <v>174</v>
      </c>
      <c r="AR24" s="11">
        <v>9</v>
      </c>
      <c r="AS24" s="143">
        <v>205</v>
      </c>
      <c r="AT24" s="11">
        <v>10</v>
      </c>
      <c r="AU24" s="143">
        <v>185</v>
      </c>
      <c r="AV24" s="11">
        <v>11</v>
      </c>
      <c r="AW24" s="143">
        <v>60</v>
      </c>
      <c r="AX24" s="11">
        <v>12</v>
      </c>
      <c r="AY24" s="144">
        <v>68</v>
      </c>
      <c r="AZ24" s="143" t="s">
        <v>65</v>
      </c>
      <c r="BA24" s="143"/>
      <c r="BB24" s="144"/>
      <c r="BC24" s="147" t="s">
        <v>43</v>
      </c>
      <c r="BD24" s="147"/>
      <c r="BE24" s="147">
        <v>1</v>
      </c>
      <c r="BF24" s="147"/>
      <c r="BG24" s="147">
        <v>2</v>
      </c>
      <c r="BH24" s="147"/>
      <c r="BI24" s="147">
        <v>3</v>
      </c>
      <c r="BJ24" s="147"/>
      <c r="BK24" s="147">
        <v>4</v>
      </c>
      <c r="BL24" s="147"/>
      <c r="BM24" s="147">
        <v>5</v>
      </c>
      <c r="BN24" s="147"/>
      <c r="BO24" s="147">
        <v>6</v>
      </c>
      <c r="BP24" s="147"/>
      <c r="BQ24" s="147">
        <v>7</v>
      </c>
      <c r="BR24" s="147"/>
      <c r="BS24" s="147">
        <v>8</v>
      </c>
      <c r="BT24" s="147"/>
      <c r="BU24" s="147">
        <v>9</v>
      </c>
      <c r="BV24" s="147"/>
      <c r="BW24" s="147">
        <v>10</v>
      </c>
      <c r="BX24" s="147"/>
      <c r="BY24" s="147">
        <v>11</v>
      </c>
      <c r="BZ24" s="147"/>
      <c r="CA24" s="147">
        <v>12</v>
      </c>
      <c r="CB24" s="147"/>
      <c r="CC24" s="147" t="s">
        <v>80</v>
      </c>
      <c r="CD24" s="147"/>
      <c r="CF24" s="214" t="s">
        <v>74</v>
      </c>
      <c r="CG24" s="212"/>
      <c r="CH24" s="212"/>
      <c r="CI24" s="212"/>
      <c r="CJ24" s="212"/>
      <c r="CK24" s="212"/>
      <c r="CL24" s="212"/>
      <c r="CM24" s="212"/>
      <c r="CN24" s="212"/>
      <c r="CO24" s="212"/>
      <c r="CP24" s="212"/>
      <c r="CQ24" s="212"/>
      <c r="CR24" s="212"/>
      <c r="CT24" s="193" t="s">
        <v>101</v>
      </c>
    </row>
    <row r="25" spans="1:110" ht="15.6" thickTop="1" thickBot="1" x14ac:dyDescent="0.35">
      <c r="A25" s="60" t="s">
        <v>348</v>
      </c>
      <c r="B25" s="598" t="s">
        <v>334</v>
      </c>
      <c r="C25" s="599"/>
      <c r="D25" s="599"/>
      <c r="E25" s="599"/>
      <c r="F25" s="599"/>
      <c r="G25" s="599"/>
      <c r="H25" s="599"/>
      <c r="I25" s="599"/>
      <c r="J25" s="599"/>
      <c r="K25" s="599"/>
      <c r="L25" s="599"/>
      <c r="M25" s="600"/>
      <c r="Z25" s="143" t="s">
        <v>54</v>
      </c>
      <c r="AA25" s="143" t="s">
        <v>49</v>
      </c>
      <c r="AB25" s="143">
        <v>59</v>
      </c>
      <c r="AC25" s="143">
        <v>100</v>
      </c>
      <c r="AD25" s="143">
        <v>14</v>
      </c>
      <c r="AE25" s="143">
        <v>100</v>
      </c>
      <c r="AF25" s="143">
        <v>227</v>
      </c>
      <c r="AG25" s="143">
        <v>100</v>
      </c>
      <c r="AH25" s="143">
        <v>510</v>
      </c>
      <c r="AI25" s="143">
        <v>100</v>
      </c>
      <c r="AJ25" s="143">
        <v>604</v>
      </c>
      <c r="AK25" s="143">
        <v>100</v>
      </c>
      <c r="AL25" s="143">
        <v>292</v>
      </c>
      <c r="AM25" s="143">
        <v>100</v>
      </c>
      <c r="AN25" s="143">
        <v>331</v>
      </c>
      <c r="AO25" s="143">
        <v>100</v>
      </c>
      <c r="AP25" s="143">
        <v>460</v>
      </c>
      <c r="AQ25" s="143">
        <v>100</v>
      </c>
      <c r="AR25" s="143">
        <v>556</v>
      </c>
      <c r="AS25" s="143">
        <v>100</v>
      </c>
      <c r="AT25" s="143">
        <v>537</v>
      </c>
      <c r="AU25" s="143">
        <v>100</v>
      </c>
      <c r="AV25" s="143">
        <v>179</v>
      </c>
      <c r="AW25" s="143">
        <v>100</v>
      </c>
      <c r="AX25" s="143">
        <v>200</v>
      </c>
      <c r="AY25" s="143">
        <v>100</v>
      </c>
      <c r="AZ25" s="144">
        <v>3970</v>
      </c>
      <c r="BA25" s="143">
        <v>100</v>
      </c>
      <c r="BC25" s="147" t="s">
        <v>54</v>
      </c>
      <c r="BD25" s="147" t="s">
        <v>49</v>
      </c>
      <c r="BE25" s="147">
        <f>AB25+AB61</f>
        <v>59</v>
      </c>
      <c r="BF25" s="147">
        <v>100</v>
      </c>
      <c r="BG25" s="195">
        <f>AD25+AD61</f>
        <v>14</v>
      </c>
      <c r="BH25" s="147">
        <v>100</v>
      </c>
      <c r="BI25" s="147">
        <f>AF25+AF61</f>
        <v>227</v>
      </c>
      <c r="BJ25" s="147">
        <v>100</v>
      </c>
      <c r="BK25" s="147">
        <f>AH25+AH61</f>
        <v>510</v>
      </c>
      <c r="BL25" s="147">
        <f>AI25+AI61</f>
        <v>100</v>
      </c>
      <c r="BM25" s="147">
        <f>AJ25+AJ61</f>
        <v>606</v>
      </c>
      <c r="BN25" s="147">
        <f>AK25+AK61</f>
        <v>200</v>
      </c>
      <c r="BO25" s="147">
        <f>AL25+AL61</f>
        <v>305</v>
      </c>
      <c r="BP25" s="147">
        <v>100</v>
      </c>
      <c r="BQ25" s="147">
        <f>AN25+AN61</f>
        <v>334</v>
      </c>
      <c r="BR25" s="147">
        <f>AO25+AO61</f>
        <v>200</v>
      </c>
      <c r="BS25" s="147">
        <f>AP25+AP61</f>
        <v>465</v>
      </c>
      <c r="BT25" s="147">
        <v>100</v>
      </c>
      <c r="BU25" s="147">
        <f>AR25+AR61</f>
        <v>556</v>
      </c>
      <c r="BV25" s="147">
        <v>100</v>
      </c>
      <c r="BW25" s="147">
        <f>AT25+AT61</f>
        <v>537</v>
      </c>
      <c r="BX25" s="147">
        <v>100</v>
      </c>
      <c r="BY25" s="147">
        <f>AV25+AV61</f>
        <v>179</v>
      </c>
      <c r="BZ25" s="147">
        <v>100</v>
      </c>
      <c r="CA25" s="147">
        <f>AX25+AX61</f>
        <v>200</v>
      </c>
      <c r="CB25" s="147">
        <v>100</v>
      </c>
      <c r="CC25" s="144">
        <f>AZ25+AZ61</f>
        <v>3993</v>
      </c>
      <c r="CD25" s="147">
        <v>100</v>
      </c>
      <c r="CF25" s="147" t="s">
        <v>37</v>
      </c>
      <c r="CG25" s="193" t="s">
        <v>100</v>
      </c>
      <c r="CH25" s="147"/>
      <c r="CI25" s="147"/>
      <c r="CJ25" s="147"/>
      <c r="CK25" s="147"/>
      <c r="CL25" s="147"/>
      <c r="CM25" s="147"/>
      <c r="CN25" s="147"/>
      <c r="CO25" s="147"/>
      <c r="CP25" s="147"/>
      <c r="CQ25" s="147"/>
      <c r="CR25" s="147"/>
      <c r="CT25" s="195" t="s">
        <v>37</v>
      </c>
      <c r="CU25" s="195" t="s">
        <v>100</v>
      </c>
      <c r="CV25" s="195"/>
      <c r="CW25" s="195"/>
      <c r="CX25" s="195"/>
      <c r="CY25" s="195"/>
      <c r="CZ25" s="195"/>
      <c r="DA25" s="195"/>
      <c r="DB25" s="195"/>
      <c r="DC25" s="195"/>
      <c r="DD25" s="195"/>
      <c r="DE25" s="195"/>
      <c r="DF25" s="195"/>
    </row>
    <row r="26" spans="1:110" ht="15.6" thickTop="1" thickBot="1" x14ac:dyDescent="0.35">
      <c r="A26" s="61" t="s">
        <v>171</v>
      </c>
      <c r="B26" s="86">
        <v>1</v>
      </c>
      <c r="C26" s="87">
        <v>2</v>
      </c>
      <c r="D26" s="223">
        <v>3</v>
      </c>
      <c r="E26" s="224">
        <v>4</v>
      </c>
      <c r="F26" s="224">
        <v>5</v>
      </c>
      <c r="G26" s="221">
        <v>6</v>
      </c>
      <c r="H26" s="221">
        <v>7</v>
      </c>
      <c r="I26" s="221">
        <v>8</v>
      </c>
      <c r="J26" s="221">
        <v>9</v>
      </c>
      <c r="K26" s="88">
        <v>10</v>
      </c>
      <c r="L26" s="88">
        <v>11</v>
      </c>
      <c r="M26" s="222">
        <v>12</v>
      </c>
      <c r="Z26" s="143"/>
      <c r="AA26" s="143" t="s">
        <v>63</v>
      </c>
      <c r="AB26" s="143">
        <v>44</v>
      </c>
      <c r="AC26" s="143">
        <v>75.099999999999994</v>
      </c>
      <c r="AD26" s="143">
        <v>5</v>
      </c>
      <c r="AE26" s="143">
        <v>37.299999999999997</v>
      </c>
      <c r="AF26" s="143">
        <v>83</v>
      </c>
      <c r="AG26" s="143">
        <v>36.700000000000003</v>
      </c>
      <c r="AH26" s="143">
        <v>133</v>
      </c>
      <c r="AI26" s="143">
        <v>26.2</v>
      </c>
      <c r="AJ26" s="143">
        <v>135</v>
      </c>
      <c r="AK26" s="143">
        <v>22.3</v>
      </c>
      <c r="AL26" s="143">
        <v>40</v>
      </c>
      <c r="AM26" s="143">
        <v>13.7</v>
      </c>
      <c r="AN26" s="143">
        <v>83</v>
      </c>
      <c r="AO26" s="143">
        <v>25.1</v>
      </c>
      <c r="AP26" s="143">
        <v>122</v>
      </c>
      <c r="AQ26" s="143">
        <v>26.5</v>
      </c>
      <c r="AR26" s="143">
        <v>140</v>
      </c>
      <c r="AS26" s="143">
        <v>25.2</v>
      </c>
      <c r="AT26" s="143">
        <v>114</v>
      </c>
      <c r="AU26" s="143">
        <v>21.2</v>
      </c>
      <c r="AV26" s="143">
        <v>33</v>
      </c>
      <c r="AW26" s="143">
        <v>18.2</v>
      </c>
      <c r="AX26" s="143">
        <v>24</v>
      </c>
      <c r="AY26" s="143">
        <v>12.1</v>
      </c>
      <c r="AZ26" s="143">
        <v>957</v>
      </c>
      <c r="BA26" s="143">
        <v>24.1</v>
      </c>
      <c r="BC26" s="147"/>
      <c r="BD26" s="147" t="s">
        <v>63</v>
      </c>
      <c r="BE26" s="147">
        <f>AB26+AB62</f>
        <v>44</v>
      </c>
      <c r="BF26" s="134">
        <f>(BE26/$BE$25)*100</f>
        <v>74.576271186440678</v>
      </c>
      <c r="BG26" s="147">
        <f>AD26+AD62</f>
        <v>5</v>
      </c>
      <c r="BH26" s="134">
        <f>(BG26/$BG$25)*100</f>
        <v>35.714285714285715</v>
      </c>
      <c r="BI26" s="147">
        <f>AF26+AF62</f>
        <v>83</v>
      </c>
      <c r="BJ26" s="134">
        <f>(BI26/$BI$25)*100</f>
        <v>36.563876651982383</v>
      </c>
      <c r="BK26" s="147">
        <f>AH26+AH62</f>
        <v>133</v>
      </c>
      <c r="BL26" s="134">
        <f>(BK26/$BK$25)*100</f>
        <v>26.078431372549023</v>
      </c>
      <c r="BM26" s="147">
        <f>AJ26+AJ62</f>
        <v>135</v>
      </c>
      <c r="BN26" s="134">
        <f>(BM26/$BM$25)*100</f>
        <v>22.277227722772277</v>
      </c>
      <c r="BO26" s="147">
        <f>AL26+AL62</f>
        <v>42</v>
      </c>
      <c r="BP26" s="134">
        <f>(BO26/$BO$25)*100</f>
        <v>13.77049180327869</v>
      </c>
      <c r="BQ26" s="147">
        <f>AN26+AN62</f>
        <v>83</v>
      </c>
      <c r="BR26" s="134">
        <f>(BQ26/$BQ$25)*100</f>
        <v>24.850299401197603</v>
      </c>
      <c r="BS26" s="147">
        <f>AP26+AP62</f>
        <v>122</v>
      </c>
      <c r="BT26" s="134">
        <f>(BS26/$BS$25)*100</f>
        <v>26.236559139784948</v>
      </c>
      <c r="BU26" s="147">
        <f>AR26+AR62</f>
        <v>140</v>
      </c>
      <c r="BV26" s="134">
        <f>(BU26/$BU$25)*100</f>
        <v>25.179856115107913</v>
      </c>
      <c r="BW26" s="147">
        <f>AT26+AT62</f>
        <v>114</v>
      </c>
      <c r="BX26" s="134">
        <f>(BW26/$BW$25)*100</f>
        <v>21.229050279329609</v>
      </c>
      <c r="BY26" s="147">
        <f>AV26+AV62</f>
        <v>33</v>
      </c>
      <c r="BZ26" s="134">
        <f>(BY26/$BY$25)*100</f>
        <v>18.435754189944134</v>
      </c>
      <c r="CA26" s="147">
        <f>AX26+AX62</f>
        <v>24</v>
      </c>
      <c r="CB26" s="134">
        <f>(CA26/$CA$25)*100</f>
        <v>12</v>
      </c>
      <c r="CC26" s="147">
        <f>AZ26+AZ62</f>
        <v>959</v>
      </c>
      <c r="CD26" s="134">
        <f>(CC26/$CC$25)*100</f>
        <v>24.017029802153768</v>
      </c>
      <c r="CF26" s="147"/>
      <c r="CG26" s="147">
        <v>1</v>
      </c>
      <c r="CH26" s="147">
        <v>2</v>
      </c>
      <c r="CI26" s="147">
        <v>3</v>
      </c>
      <c r="CJ26" s="147">
        <v>4</v>
      </c>
      <c r="CK26" s="147">
        <v>5</v>
      </c>
      <c r="CL26" s="147">
        <v>6</v>
      </c>
      <c r="CM26" s="147">
        <v>7</v>
      </c>
      <c r="CN26" s="147">
        <v>8</v>
      </c>
      <c r="CO26" s="147">
        <v>9</v>
      </c>
      <c r="CP26" s="147">
        <v>10</v>
      </c>
      <c r="CQ26" s="147">
        <v>11</v>
      </c>
      <c r="CR26" s="147">
        <v>12</v>
      </c>
      <c r="CT26" s="195"/>
      <c r="CU26" s="195">
        <v>1</v>
      </c>
      <c r="CV26" s="195">
        <v>2</v>
      </c>
      <c r="CW26" s="195">
        <v>3</v>
      </c>
      <c r="CX26" s="195">
        <v>4</v>
      </c>
      <c r="CY26" s="195">
        <v>5</v>
      </c>
      <c r="CZ26" s="195">
        <v>6</v>
      </c>
      <c r="DA26" s="195">
        <v>7</v>
      </c>
      <c r="DB26" s="195">
        <v>8</v>
      </c>
      <c r="DC26" s="195">
        <v>9</v>
      </c>
      <c r="DD26" s="195">
        <v>10</v>
      </c>
      <c r="DE26" s="195">
        <v>11</v>
      </c>
      <c r="DF26" s="195">
        <v>12</v>
      </c>
    </row>
    <row r="27" spans="1:110" ht="15.6" thickTop="1" thickBot="1" x14ac:dyDescent="0.35">
      <c r="A27" s="137">
        <v>1</v>
      </c>
      <c r="B27" s="109">
        <v>0</v>
      </c>
      <c r="C27" s="109">
        <v>0</v>
      </c>
      <c r="D27" s="109">
        <v>0</v>
      </c>
      <c r="E27" s="109">
        <v>0</v>
      </c>
      <c r="F27" s="109">
        <v>0</v>
      </c>
      <c r="G27" s="109">
        <v>0</v>
      </c>
      <c r="H27" s="109">
        <v>0</v>
      </c>
      <c r="I27" s="109">
        <v>0</v>
      </c>
      <c r="J27" s="109">
        <v>0</v>
      </c>
      <c r="K27" s="109">
        <v>0</v>
      </c>
      <c r="L27" s="109">
        <v>0</v>
      </c>
      <c r="M27" s="109">
        <v>0</v>
      </c>
      <c r="Z27" s="143"/>
      <c r="AA27" s="143">
        <v>14</v>
      </c>
      <c r="AB27" s="143">
        <v>0</v>
      </c>
      <c r="AC27" s="143">
        <v>0</v>
      </c>
      <c r="AD27" s="143">
        <v>0</v>
      </c>
      <c r="AE27" s="143">
        <v>0</v>
      </c>
      <c r="AF27" s="143">
        <v>0</v>
      </c>
      <c r="AG27" s="143">
        <v>0</v>
      </c>
      <c r="AH27" s="143">
        <v>0</v>
      </c>
      <c r="AI27" s="143">
        <v>0</v>
      </c>
      <c r="AJ27" s="143">
        <v>0</v>
      </c>
      <c r="AK27" s="143">
        <v>0</v>
      </c>
      <c r="AL27" s="143">
        <v>0</v>
      </c>
      <c r="AM27" s="143">
        <v>0</v>
      </c>
      <c r="AN27" s="143">
        <v>0</v>
      </c>
      <c r="AO27" s="143">
        <v>0</v>
      </c>
      <c r="AP27" s="143">
        <v>0</v>
      </c>
      <c r="AQ27" s="143">
        <v>0</v>
      </c>
      <c r="AR27" s="143">
        <v>0</v>
      </c>
      <c r="AS27" s="143">
        <v>0</v>
      </c>
      <c r="AT27" s="143">
        <v>0</v>
      </c>
      <c r="AU27" s="143">
        <v>0</v>
      </c>
      <c r="AV27" s="143">
        <v>0</v>
      </c>
      <c r="AW27" s="143">
        <v>0</v>
      </c>
      <c r="AX27" s="143">
        <v>0</v>
      </c>
      <c r="AY27" s="143">
        <v>0</v>
      </c>
      <c r="AZ27" s="143">
        <v>0</v>
      </c>
      <c r="BA27" s="143">
        <v>0</v>
      </c>
      <c r="BC27" s="147"/>
      <c r="BD27" s="147">
        <v>14</v>
      </c>
      <c r="BE27" s="147">
        <f>AB27+AB63</f>
        <v>0</v>
      </c>
      <c r="BF27" s="134">
        <f>(BE27/$BE$25)*100</f>
        <v>0</v>
      </c>
      <c r="BG27" s="147">
        <f>AD27+AD63</f>
        <v>0</v>
      </c>
      <c r="BH27" s="134">
        <f t="shared" ref="BH27:BH38" si="12">(BG27/$BG$25)*100</f>
        <v>0</v>
      </c>
      <c r="BI27" s="147">
        <f>AF27+AF63</f>
        <v>0</v>
      </c>
      <c r="BJ27" s="134">
        <f t="shared" ref="BJ27:BJ39" si="13">(BI27/$BI$25)*100</f>
        <v>0</v>
      </c>
      <c r="BK27" s="147">
        <f>AH27+AH63</f>
        <v>0</v>
      </c>
      <c r="BL27" s="134">
        <f t="shared" ref="BL27:BL39" si="14">(BK27/$BK$25)*100</f>
        <v>0</v>
      </c>
      <c r="BM27" s="147">
        <f>AJ27+AJ63</f>
        <v>0</v>
      </c>
      <c r="BN27" s="134">
        <f t="shared" ref="BN27:BN39" si="15">(BM27/$BM$25)*100</f>
        <v>0</v>
      </c>
      <c r="BO27" s="147">
        <f>AL27+AL63</f>
        <v>0</v>
      </c>
      <c r="BP27" s="134">
        <f t="shared" ref="BP27:BP39" si="16">(BO27/$BO$25)*100</f>
        <v>0</v>
      </c>
      <c r="BQ27" s="147">
        <f>AN27+AN63</f>
        <v>0</v>
      </c>
      <c r="BR27" s="134">
        <f t="shared" ref="BR27:BR39" si="17">(BQ27/$BQ$25)*100</f>
        <v>0</v>
      </c>
      <c r="BS27" s="147">
        <f>AP27+AP63</f>
        <v>0</v>
      </c>
      <c r="BT27" s="134">
        <f t="shared" ref="BT27:BT39" si="18">(BS27/$BS$25)*100</f>
        <v>0</v>
      </c>
      <c r="BU27" s="147">
        <f>AR27+AR63</f>
        <v>0</v>
      </c>
      <c r="BV27" s="134">
        <f t="shared" ref="BV27:BV39" si="19">(BU27/$BU$25)*100</f>
        <v>0</v>
      </c>
      <c r="BW27" s="147">
        <f>AT27+AT63</f>
        <v>0</v>
      </c>
      <c r="BX27" s="134">
        <f t="shared" ref="BX27:BX39" si="20">(BW27/$BW$25)*100</f>
        <v>0</v>
      </c>
      <c r="BY27" s="147">
        <f>AV27+AV63</f>
        <v>0</v>
      </c>
      <c r="BZ27" s="134">
        <f t="shared" ref="BZ27:BZ38" si="21">(BY27/$BY$25)*100</f>
        <v>0</v>
      </c>
      <c r="CA27" s="147">
        <f>AX27+AX63</f>
        <v>0</v>
      </c>
      <c r="CB27" s="134">
        <f t="shared" ref="CB27:CB39" si="22">(CA27/$CA$25)*100</f>
        <v>0</v>
      </c>
      <c r="CC27" s="147">
        <f>AZ27+AZ63</f>
        <v>0</v>
      </c>
      <c r="CD27" s="134">
        <f t="shared" ref="CD27:CD39" si="23">(CC27/$CC$25)*100</f>
        <v>0</v>
      </c>
      <c r="CF27" s="147" t="str">
        <f>SL_pooling!B36</f>
        <v>undersize</v>
      </c>
      <c r="CG27" s="195">
        <f>SL_pooling!C36</f>
        <v>44</v>
      </c>
      <c r="CH27" s="195">
        <f>SL_pooling!D36</f>
        <v>44</v>
      </c>
      <c r="CI27" s="195">
        <f>SL_pooling!E36</f>
        <v>44</v>
      </c>
      <c r="CJ27" s="195">
        <f>SL_pooling!F36</f>
        <v>26.078431372549023</v>
      </c>
      <c r="CK27" s="195">
        <f>SL_pooling!G36</f>
        <v>22.277227722772277</v>
      </c>
      <c r="CL27" s="195">
        <f>SL_pooling!H36</f>
        <v>13.77049180327869</v>
      </c>
      <c r="CM27" s="195">
        <f>SL_pooling!I36</f>
        <v>24.850299401197603</v>
      </c>
      <c r="CN27" s="195">
        <f>SL_pooling!J36</f>
        <v>26.236559139784948</v>
      </c>
      <c r="CO27" s="195">
        <f>SL_pooling!K36</f>
        <v>25.179856115107913</v>
      </c>
      <c r="CP27" s="195">
        <f>SL_pooling!L36</f>
        <v>18.668122270742359</v>
      </c>
      <c r="CQ27" s="195">
        <f>SL_pooling!M36</f>
        <v>18.668122270742359</v>
      </c>
      <c r="CR27" s="195">
        <f>SL_pooling!N36</f>
        <v>18.668122270742359</v>
      </c>
      <c r="CT27" s="195" t="str">
        <f>CF27</f>
        <v>undersize</v>
      </c>
      <c r="CU27" s="12">
        <f>CG27/100</f>
        <v>0.44</v>
      </c>
      <c r="CV27" s="12">
        <f t="shared" ref="CV27:DF34" si="24">CH27/100</f>
        <v>0.44</v>
      </c>
      <c r="CW27" s="12">
        <f t="shared" si="24"/>
        <v>0.44</v>
      </c>
      <c r="CX27" s="12">
        <f t="shared" si="24"/>
        <v>0.26078431372549021</v>
      </c>
      <c r="CY27" s="12">
        <f t="shared" si="24"/>
        <v>0.22277227722772278</v>
      </c>
      <c r="CZ27" s="12">
        <f t="shared" si="24"/>
        <v>0.13770491803278689</v>
      </c>
      <c r="DA27" s="12">
        <f t="shared" si="24"/>
        <v>0.24850299401197604</v>
      </c>
      <c r="DB27" s="12">
        <f t="shared" si="24"/>
        <v>0.26236559139784948</v>
      </c>
      <c r="DC27" s="12">
        <f t="shared" si="24"/>
        <v>0.25179856115107913</v>
      </c>
      <c r="DD27" s="12">
        <f t="shared" si="24"/>
        <v>0.1866812227074236</v>
      </c>
      <c r="DE27" s="12">
        <f t="shared" si="24"/>
        <v>0.1866812227074236</v>
      </c>
      <c r="DF27" s="12">
        <f t="shared" si="24"/>
        <v>0.1866812227074236</v>
      </c>
    </row>
    <row r="28" spans="1:110" s="147" customFormat="1" ht="15.6" thickTop="1" thickBot="1" x14ac:dyDescent="0.35">
      <c r="A28" s="138">
        <v>2</v>
      </c>
      <c r="B28" s="109">
        <v>0.18073207666664182</v>
      </c>
      <c r="C28" s="109">
        <v>0.18073207666664182</v>
      </c>
      <c r="D28" s="109">
        <v>0.18073207666664182</v>
      </c>
      <c r="E28" s="109">
        <v>0.18073207666664182</v>
      </c>
      <c r="F28" s="109">
        <v>0.18073207666664182</v>
      </c>
      <c r="G28" s="109">
        <v>0.18073207666664182</v>
      </c>
      <c r="H28" s="109">
        <v>0.18073207666664182</v>
      </c>
      <c r="I28" s="109">
        <v>0.18073207666664182</v>
      </c>
      <c r="J28" s="109">
        <v>0.18073207666664182</v>
      </c>
      <c r="K28" s="109">
        <v>0.18073207666664182</v>
      </c>
      <c r="L28" s="109">
        <v>0.18073207666664182</v>
      </c>
      <c r="M28" s="109">
        <v>0.18073207666664182</v>
      </c>
      <c r="O28" s="195"/>
      <c r="X28" s="195"/>
      <c r="BF28" s="134"/>
      <c r="BH28" s="134"/>
      <c r="BJ28" s="134"/>
      <c r="BL28" s="134"/>
      <c r="BN28" s="134"/>
      <c r="BP28" s="134"/>
      <c r="BR28" s="134"/>
      <c r="BT28" s="134"/>
      <c r="BV28" s="134"/>
      <c r="BX28" s="134"/>
      <c r="BZ28" s="134"/>
      <c r="CB28" s="134"/>
      <c r="CD28" s="134"/>
      <c r="CF28" s="195">
        <f>SL_pooling!B37</f>
        <v>14</v>
      </c>
      <c r="CG28" s="195">
        <f>SL_pooling!C37</f>
        <v>0</v>
      </c>
      <c r="CH28" s="195">
        <f>SL_pooling!D37</f>
        <v>0</v>
      </c>
      <c r="CI28" s="195">
        <f>SL_pooling!E37</f>
        <v>0</v>
      </c>
      <c r="CJ28" s="195">
        <f>SL_pooling!F37</f>
        <v>0</v>
      </c>
      <c r="CK28" s="195">
        <f>SL_pooling!G37</f>
        <v>0</v>
      </c>
      <c r="CL28" s="195">
        <f>SL_pooling!H37</f>
        <v>0</v>
      </c>
      <c r="CM28" s="195">
        <f>SL_pooling!I37</f>
        <v>0</v>
      </c>
      <c r="CN28" s="195">
        <f>SL_pooling!J37</f>
        <v>0</v>
      </c>
      <c r="CO28" s="195">
        <f>SL_pooling!K37</f>
        <v>0</v>
      </c>
      <c r="CP28" s="195">
        <f>SL_pooling!L37</f>
        <v>0</v>
      </c>
      <c r="CQ28" s="195">
        <f>SL_pooling!M37</f>
        <v>0</v>
      </c>
      <c r="CR28" s="195">
        <f>SL_pooling!N37</f>
        <v>0</v>
      </c>
      <c r="CT28" s="195">
        <f t="shared" ref="CT28:CT34" si="25">CF28</f>
        <v>14</v>
      </c>
      <c r="CU28" s="12">
        <f t="shared" ref="CU28:CU34" si="26">CG28/100</f>
        <v>0</v>
      </c>
      <c r="CV28" s="12">
        <f t="shared" si="24"/>
        <v>0</v>
      </c>
      <c r="CW28" s="12">
        <f t="shared" si="24"/>
        <v>0</v>
      </c>
      <c r="CX28" s="12">
        <f t="shared" si="24"/>
        <v>0</v>
      </c>
      <c r="CY28" s="12">
        <f t="shared" si="24"/>
        <v>0</v>
      </c>
      <c r="CZ28" s="12">
        <f t="shared" si="24"/>
        <v>0</v>
      </c>
      <c r="DA28" s="12">
        <f t="shared" si="24"/>
        <v>0</v>
      </c>
      <c r="DB28" s="12">
        <f t="shared" si="24"/>
        <v>0</v>
      </c>
      <c r="DC28" s="12">
        <f t="shared" si="24"/>
        <v>0</v>
      </c>
      <c r="DD28" s="12">
        <f t="shared" si="24"/>
        <v>0</v>
      </c>
      <c r="DE28" s="12">
        <f t="shared" si="24"/>
        <v>0</v>
      </c>
      <c r="DF28" s="12">
        <f t="shared" si="24"/>
        <v>0</v>
      </c>
    </row>
    <row r="29" spans="1:110" ht="15.45" customHeight="1" thickTop="1" thickBot="1" x14ac:dyDescent="0.35">
      <c r="A29" s="138">
        <v>3</v>
      </c>
      <c r="B29" s="109">
        <v>0.28620974413850542</v>
      </c>
      <c r="C29" s="109">
        <v>0.28620974413850542</v>
      </c>
      <c r="D29" s="109">
        <v>0.28620974413850542</v>
      </c>
      <c r="E29" s="109">
        <v>0.28620974413850542</v>
      </c>
      <c r="F29" s="109">
        <v>0.28620974413850542</v>
      </c>
      <c r="G29" s="109">
        <v>0.28620974413850542</v>
      </c>
      <c r="H29" s="109">
        <v>0.28620974413850542</v>
      </c>
      <c r="I29" s="109">
        <v>0.28620974413850542</v>
      </c>
      <c r="J29" s="109">
        <v>0.28620974413850542</v>
      </c>
      <c r="K29" s="109">
        <v>0.28620974413850542</v>
      </c>
      <c r="L29" s="109">
        <v>0.28620974413850542</v>
      </c>
      <c r="M29" s="109">
        <v>0.28620974413850542</v>
      </c>
      <c r="Z29" s="143"/>
      <c r="AA29" s="143">
        <v>15</v>
      </c>
      <c r="AB29" s="143">
        <v>12</v>
      </c>
      <c r="AC29" s="143">
        <v>20.7</v>
      </c>
      <c r="AD29" s="143">
        <v>3</v>
      </c>
      <c r="AE29" s="143">
        <v>20.399999999999999</v>
      </c>
      <c r="AF29" s="143">
        <v>65</v>
      </c>
      <c r="AG29" s="143">
        <v>28.5</v>
      </c>
      <c r="AH29" s="143">
        <v>183</v>
      </c>
      <c r="AI29" s="143">
        <v>35.799999999999997</v>
      </c>
      <c r="AJ29" s="143">
        <v>174</v>
      </c>
      <c r="AK29" s="143">
        <v>28.8</v>
      </c>
      <c r="AL29" s="143">
        <v>54</v>
      </c>
      <c r="AM29" s="143">
        <v>18.7</v>
      </c>
      <c r="AN29" s="143">
        <v>81</v>
      </c>
      <c r="AO29" s="143">
        <v>24.5</v>
      </c>
      <c r="AP29" s="143">
        <v>119</v>
      </c>
      <c r="AQ29" s="143">
        <v>25.8</v>
      </c>
      <c r="AR29" s="143">
        <v>137</v>
      </c>
      <c r="AS29" s="143">
        <v>24.6</v>
      </c>
      <c r="AT29" s="143">
        <v>141</v>
      </c>
      <c r="AU29" s="143">
        <v>26.3</v>
      </c>
      <c r="AV29" s="143">
        <v>52</v>
      </c>
      <c r="AW29" s="143">
        <v>28.8</v>
      </c>
      <c r="AX29" s="143">
        <v>72</v>
      </c>
      <c r="AY29" s="143">
        <v>35.799999999999997</v>
      </c>
      <c r="AZ29" s="144">
        <v>1092</v>
      </c>
      <c r="BA29" s="143">
        <v>27.5</v>
      </c>
      <c r="BC29" s="147"/>
      <c r="BD29" s="147">
        <v>15</v>
      </c>
      <c r="BE29" s="147">
        <f t="shared" ref="BE29:BE39" si="27">AB29+AB64</f>
        <v>12</v>
      </c>
      <c r="BF29" s="134">
        <f>(BE29/$BE$25)*100</f>
        <v>20.33898305084746</v>
      </c>
      <c r="BG29" s="147">
        <f t="shared" ref="BG29:BG39" si="28">AD29+AD64</f>
        <v>3</v>
      </c>
      <c r="BH29" s="134">
        <f t="shared" si="12"/>
        <v>21.428571428571427</v>
      </c>
      <c r="BI29" s="147">
        <f t="shared" ref="BI29:BI39" si="29">AF29+AF64</f>
        <v>65</v>
      </c>
      <c r="BJ29" s="134">
        <f t="shared" si="13"/>
        <v>28.634361233480178</v>
      </c>
      <c r="BK29" s="147">
        <f t="shared" ref="BK29:BK39" si="30">AH29+AH64</f>
        <v>183</v>
      </c>
      <c r="BL29" s="134">
        <f t="shared" si="14"/>
        <v>35.882352941176471</v>
      </c>
      <c r="BM29" s="147">
        <f t="shared" ref="BM29:BM39" si="31">AJ29+AJ64</f>
        <v>176</v>
      </c>
      <c r="BN29" s="134">
        <f t="shared" si="15"/>
        <v>29.042904290429046</v>
      </c>
      <c r="BO29" s="147">
        <f t="shared" ref="BO29:BO39" si="32">AL29+AL64</f>
        <v>61</v>
      </c>
      <c r="BP29" s="134">
        <f t="shared" si="16"/>
        <v>20</v>
      </c>
      <c r="BQ29" s="147">
        <f t="shared" ref="BQ29:BQ39" si="33">AN29+AN64</f>
        <v>84</v>
      </c>
      <c r="BR29" s="134">
        <f t="shared" si="17"/>
        <v>25.149700598802394</v>
      </c>
      <c r="BS29" s="147">
        <f t="shared" ref="BS29:BS39" si="34">AP29+AP64</f>
        <v>124</v>
      </c>
      <c r="BT29" s="134">
        <f>(BS29/$BS$25)*100</f>
        <v>26.666666666666668</v>
      </c>
      <c r="BU29" s="147">
        <f t="shared" ref="BU29:BU39" si="35">AR29+AR64</f>
        <v>137</v>
      </c>
      <c r="BV29" s="134">
        <f t="shared" si="19"/>
        <v>24.640287769784173</v>
      </c>
      <c r="BW29" s="147">
        <f t="shared" ref="BW29:BW39" si="36">AT29+AT64</f>
        <v>141</v>
      </c>
      <c r="BX29" s="134">
        <f t="shared" si="20"/>
        <v>26.256983240223462</v>
      </c>
      <c r="BY29" s="147">
        <f t="shared" ref="BY29:BY39" si="37">AV29+AV64</f>
        <v>52</v>
      </c>
      <c r="BZ29" s="134">
        <f t="shared" si="21"/>
        <v>29.050279329608941</v>
      </c>
      <c r="CA29" s="147">
        <f t="shared" ref="CA29:CA39" si="38">AX29+AX64</f>
        <v>72</v>
      </c>
      <c r="CB29" s="134">
        <f t="shared" si="22"/>
        <v>36</v>
      </c>
      <c r="CC29" s="147">
        <f t="shared" ref="CC29:CC39" si="39">AZ29+AZ64</f>
        <v>1109</v>
      </c>
      <c r="CD29" s="134">
        <f t="shared" si="23"/>
        <v>27.773603806661658</v>
      </c>
      <c r="CF29" s="195">
        <f>SL_pooling!B38</f>
        <v>15</v>
      </c>
      <c r="CG29" s="195">
        <f>SL_pooling!C38</f>
        <v>26.666666666666668</v>
      </c>
      <c r="CH29" s="195">
        <f>SL_pooling!D38</f>
        <v>26.666666666666668</v>
      </c>
      <c r="CI29" s="195">
        <f>SL_pooling!E38</f>
        <v>26.666666666666668</v>
      </c>
      <c r="CJ29" s="195">
        <f>SL_pooling!F38</f>
        <v>35.882352941176471</v>
      </c>
      <c r="CK29" s="195">
        <f>SL_pooling!G38</f>
        <v>29.042904290429046</v>
      </c>
      <c r="CL29" s="195">
        <f>SL_pooling!H38</f>
        <v>20</v>
      </c>
      <c r="CM29" s="195">
        <f>SL_pooling!I38</f>
        <v>25.149700598802394</v>
      </c>
      <c r="CN29" s="195">
        <f>SL_pooling!J38</f>
        <v>26.666666666666668</v>
      </c>
      <c r="CO29" s="195">
        <f>SL_pooling!K38</f>
        <v>24.640287769784173</v>
      </c>
      <c r="CP29" s="195">
        <f>SL_pooling!L38</f>
        <v>28.93013100436681</v>
      </c>
      <c r="CQ29" s="195">
        <f>SL_pooling!M38</f>
        <v>28.93013100436681</v>
      </c>
      <c r="CR29" s="195">
        <f>SL_pooling!N38</f>
        <v>28.93013100436681</v>
      </c>
      <c r="CT29" s="195">
        <f t="shared" si="25"/>
        <v>15</v>
      </c>
      <c r="CU29" s="12">
        <f t="shared" si="26"/>
        <v>0.26666666666666666</v>
      </c>
      <c r="CV29" s="12">
        <f t="shared" si="24"/>
        <v>0.26666666666666666</v>
      </c>
      <c r="CW29" s="12">
        <f t="shared" si="24"/>
        <v>0.26666666666666666</v>
      </c>
      <c r="CX29" s="12">
        <f t="shared" si="24"/>
        <v>0.35882352941176471</v>
      </c>
      <c r="CY29" s="12">
        <f t="shared" si="24"/>
        <v>0.29042904290429045</v>
      </c>
      <c r="CZ29" s="12">
        <f t="shared" si="24"/>
        <v>0.2</v>
      </c>
      <c r="DA29" s="12">
        <f t="shared" si="24"/>
        <v>0.25149700598802394</v>
      </c>
      <c r="DB29" s="12">
        <f t="shared" si="24"/>
        <v>0.26666666666666666</v>
      </c>
      <c r="DC29" s="12">
        <f t="shared" si="24"/>
        <v>0.24640287769784172</v>
      </c>
      <c r="DD29" s="12">
        <f t="shared" si="24"/>
        <v>0.2893013100436681</v>
      </c>
      <c r="DE29" s="12">
        <f t="shared" si="24"/>
        <v>0.2893013100436681</v>
      </c>
      <c r="DF29" s="12">
        <f t="shared" si="24"/>
        <v>0.2893013100436681</v>
      </c>
    </row>
    <row r="30" spans="1:110" ht="15.45" customHeight="1" thickTop="1" thickBot="1" x14ac:dyDescent="0.35">
      <c r="A30" s="108">
        <v>4</v>
      </c>
      <c r="B30" s="109">
        <v>0</v>
      </c>
      <c r="C30" s="109">
        <v>0</v>
      </c>
      <c r="D30" s="109">
        <v>0</v>
      </c>
      <c r="E30" s="109">
        <v>0</v>
      </c>
      <c r="F30" s="109">
        <v>0</v>
      </c>
      <c r="G30" s="109">
        <v>0</v>
      </c>
      <c r="H30" s="109">
        <v>0</v>
      </c>
      <c r="I30" s="109">
        <v>0</v>
      </c>
      <c r="J30" s="109">
        <v>0</v>
      </c>
      <c r="K30" s="109">
        <v>0</v>
      </c>
      <c r="L30" s="109">
        <v>0</v>
      </c>
      <c r="M30" s="109">
        <v>0</v>
      </c>
      <c r="Z30" s="143"/>
      <c r="AA30" s="143">
        <v>16</v>
      </c>
      <c r="AB30" s="143">
        <v>15</v>
      </c>
      <c r="AC30" s="143">
        <v>24.9</v>
      </c>
      <c r="AD30" s="143">
        <v>8</v>
      </c>
      <c r="AE30" s="143">
        <v>62.7</v>
      </c>
      <c r="AF30" s="143">
        <v>91</v>
      </c>
      <c r="AG30" s="143">
        <v>40.200000000000003</v>
      </c>
      <c r="AH30" s="143">
        <v>258</v>
      </c>
      <c r="AI30" s="143">
        <v>50.7</v>
      </c>
      <c r="AJ30" s="143">
        <v>315</v>
      </c>
      <c r="AK30" s="143">
        <v>52.2</v>
      </c>
      <c r="AL30" s="143">
        <v>86</v>
      </c>
      <c r="AM30" s="143">
        <v>29.5</v>
      </c>
      <c r="AN30" s="143">
        <v>138</v>
      </c>
      <c r="AO30" s="143">
        <v>41.7</v>
      </c>
      <c r="AP30" s="143">
        <v>195</v>
      </c>
      <c r="AQ30" s="143">
        <v>42.3</v>
      </c>
      <c r="AR30" s="143">
        <v>248</v>
      </c>
      <c r="AS30" s="143">
        <v>44.6</v>
      </c>
      <c r="AT30" s="143">
        <v>228</v>
      </c>
      <c r="AU30" s="143">
        <v>42.4</v>
      </c>
      <c r="AV30" s="143">
        <v>94</v>
      </c>
      <c r="AW30" s="143">
        <v>52.5</v>
      </c>
      <c r="AX30" s="143">
        <v>98</v>
      </c>
      <c r="AY30" s="143">
        <v>49</v>
      </c>
      <c r="AZ30" s="144">
        <v>1775</v>
      </c>
      <c r="BA30" s="143">
        <v>44.7</v>
      </c>
      <c r="BC30" s="147"/>
      <c r="BD30" s="147">
        <v>16</v>
      </c>
      <c r="BE30" s="147">
        <f t="shared" si="27"/>
        <v>15</v>
      </c>
      <c r="BF30" s="134">
        <f>(BE30/$BE$25)*100</f>
        <v>25.423728813559322</v>
      </c>
      <c r="BG30" s="147">
        <f t="shared" si="28"/>
        <v>8</v>
      </c>
      <c r="BH30" s="134">
        <f t="shared" si="12"/>
        <v>57.142857142857139</v>
      </c>
      <c r="BI30" s="147">
        <f t="shared" si="29"/>
        <v>91</v>
      </c>
      <c r="BJ30" s="134">
        <f t="shared" si="13"/>
        <v>40.08810572687225</v>
      </c>
      <c r="BK30" s="147">
        <f t="shared" si="30"/>
        <v>258</v>
      </c>
      <c r="BL30" s="134">
        <f t="shared" si="14"/>
        <v>50.588235294117645</v>
      </c>
      <c r="BM30" s="147">
        <f t="shared" si="31"/>
        <v>317</v>
      </c>
      <c r="BN30" s="134">
        <f t="shared" si="15"/>
        <v>52.310231023102304</v>
      </c>
      <c r="BO30" s="147">
        <f t="shared" si="32"/>
        <v>93</v>
      </c>
      <c r="BP30" s="134">
        <f t="shared" si="16"/>
        <v>30.491803278688522</v>
      </c>
      <c r="BQ30" s="147">
        <f t="shared" si="33"/>
        <v>141</v>
      </c>
      <c r="BR30" s="134">
        <f t="shared" si="17"/>
        <v>42.215568862275447</v>
      </c>
      <c r="BS30" s="147">
        <f t="shared" si="34"/>
        <v>200</v>
      </c>
      <c r="BT30" s="134">
        <f t="shared" si="18"/>
        <v>43.01075268817204</v>
      </c>
      <c r="BU30" s="147">
        <f t="shared" si="35"/>
        <v>248</v>
      </c>
      <c r="BV30" s="134">
        <f t="shared" si="19"/>
        <v>44.60431654676259</v>
      </c>
      <c r="BW30" s="147">
        <f t="shared" si="36"/>
        <v>228</v>
      </c>
      <c r="BX30" s="134">
        <f t="shared" si="20"/>
        <v>42.458100558659218</v>
      </c>
      <c r="BY30" s="147">
        <f t="shared" si="37"/>
        <v>94</v>
      </c>
      <c r="BZ30" s="134">
        <f t="shared" si="21"/>
        <v>52.513966480446925</v>
      </c>
      <c r="CA30" s="147">
        <f t="shared" si="38"/>
        <v>98</v>
      </c>
      <c r="CB30" s="134">
        <f t="shared" si="22"/>
        <v>49</v>
      </c>
      <c r="CC30" s="147">
        <f t="shared" si="39"/>
        <v>1792</v>
      </c>
      <c r="CD30" s="134">
        <f t="shared" si="23"/>
        <v>44.878537440520908</v>
      </c>
      <c r="CF30" s="195">
        <f>SL_pooling!B39</f>
        <v>16</v>
      </c>
      <c r="CG30" s="195">
        <f>SL_pooling!C39</f>
        <v>38</v>
      </c>
      <c r="CH30" s="195">
        <f>SL_pooling!D39</f>
        <v>38</v>
      </c>
      <c r="CI30" s="195">
        <f>SL_pooling!E39</f>
        <v>38</v>
      </c>
      <c r="CJ30" s="195">
        <f>SL_pooling!F39</f>
        <v>50.588235294117645</v>
      </c>
      <c r="CK30" s="195">
        <f>SL_pooling!G39</f>
        <v>52.310231023102304</v>
      </c>
      <c r="CL30" s="195">
        <f>SL_pooling!H39</f>
        <v>30.491803278688522</v>
      </c>
      <c r="CM30" s="195">
        <f>SL_pooling!I39</f>
        <v>42.215568862275447</v>
      </c>
      <c r="CN30" s="195">
        <f>SL_pooling!J39</f>
        <v>43.01075268817204</v>
      </c>
      <c r="CO30" s="195">
        <f>SL_pooling!K39</f>
        <v>44.60431654676259</v>
      </c>
      <c r="CP30" s="195">
        <f>SL_pooling!L39</f>
        <v>45.851528384279476</v>
      </c>
      <c r="CQ30" s="195">
        <f>SL_pooling!M39</f>
        <v>45.851528384279476</v>
      </c>
      <c r="CR30" s="195">
        <f>SL_pooling!N39</f>
        <v>45.851528384279476</v>
      </c>
      <c r="CT30" s="195">
        <f t="shared" si="25"/>
        <v>16</v>
      </c>
      <c r="CU30" s="12">
        <f t="shared" si="26"/>
        <v>0.38</v>
      </c>
      <c r="CV30" s="12">
        <f t="shared" si="24"/>
        <v>0.38</v>
      </c>
      <c r="CW30" s="12">
        <f t="shared" si="24"/>
        <v>0.38</v>
      </c>
      <c r="CX30" s="12">
        <f t="shared" si="24"/>
        <v>0.50588235294117645</v>
      </c>
      <c r="CY30" s="12">
        <f t="shared" si="24"/>
        <v>0.52310231023102305</v>
      </c>
      <c r="CZ30" s="12">
        <f t="shared" si="24"/>
        <v>0.30491803278688523</v>
      </c>
      <c r="DA30" s="12">
        <f t="shared" si="24"/>
        <v>0.42215568862275449</v>
      </c>
      <c r="DB30" s="12">
        <f t="shared" si="24"/>
        <v>0.43010752688172038</v>
      </c>
      <c r="DC30" s="12">
        <f t="shared" si="24"/>
        <v>0.4460431654676259</v>
      </c>
      <c r="DD30" s="12">
        <f t="shared" si="24"/>
        <v>0.45851528384279477</v>
      </c>
      <c r="DE30" s="12">
        <f t="shared" si="24"/>
        <v>0.45851528384279477</v>
      </c>
      <c r="DF30" s="12">
        <f t="shared" si="24"/>
        <v>0.45851528384279477</v>
      </c>
    </row>
    <row r="31" spans="1:110" ht="15.6" thickTop="1" thickBot="1" x14ac:dyDescent="0.35">
      <c r="A31" s="108">
        <v>5</v>
      </c>
      <c r="B31" s="109">
        <v>0</v>
      </c>
      <c r="C31" s="109">
        <v>0</v>
      </c>
      <c r="D31" s="109">
        <v>0</v>
      </c>
      <c r="E31" s="109">
        <v>0</v>
      </c>
      <c r="F31" s="109">
        <v>0</v>
      </c>
      <c r="G31" s="109">
        <v>0</v>
      </c>
      <c r="H31" s="109">
        <v>0</v>
      </c>
      <c r="I31" s="109">
        <v>0</v>
      </c>
      <c r="J31" s="109">
        <v>0</v>
      </c>
      <c r="K31" s="109">
        <v>0</v>
      </c>
      <c r="L31" s="109">
        <v>0</v>
      </c>
      <c r="M31" s="109">
        <v>0</v>
      </c>
      <c r="Z31" s="143"/>
      <c r="AA31" s="143">
        <v>17</v>
      </c>
      <c r="AB31" s="143">
        <v>15</v>
      </c>
      <c r="AC31" s="143">
        <v>24.9</v>
      </c>
      <c r="AD31" s="143">
        <v>8</v>
      </c>
      <c r="AE31" s="143">
        <v>62.7</v>
      </c>
      <c r="AF31" s="143">
        <v>126</v>
      </c>
      <c r="AG31" s="143">
        <v>55.7</v>
      </c>
      <c r="AH31" s="143">
        <v>321</v>
      </c>
      <c r="AI31" s="143">
        <v>62.9</v>
      </c>
      <c r="AJ31" s="143">
        <v>398</v>
      </c>
      <c r="AK31" s="143">
        <v>65.900000000000006</v>
      </c>
      <c r="AL31" s="143">
        <v>157</v>
      </c>
      <c r="AM31" s="143">
        <v>53.9</v>
      </c>
      <c r="AN31" s="143">
        <v>174</v>
      </c>
      <c r="AO31" s="143">
        <v>52.5</v>
      </c>
      <c r="AP31" s="143">
        <v>260</v>
      </c>
      <c r="AQ31" s="143">
        <v>56.4</v>
      </c>
      <c r="AR31" s="143">
        <v>314</v>
      </c>
      <c r="AS31" s="143">
        <v>56.4</v>
      </c>
      <c r="AT31" s="143">
        <v>279</v>
      </c>
      <c r="AU31" s="143">
        <v>51.8</v>
      </c>
      <c r="AV31" s="143">
        <v>109</v>
      </c>
      <c r="AW31" s="143">
        <v>60.9</v>
      </c>
      <c r="AX31" s="143">
        <v>140</v>
      </c>
      <c r="AY31" s="143">
        <v>69.8</v>
      </c>
      <c r="AZ31" s="144">
        <v>2301</v>
      </c>
      <c r="BA31" s="143">
        <v>58</v>
      </c>
      <c r="BC31" s="147"/>
      <c r="BD31" s="147">
        <v>17</v>
      </c>
      <c r="BE31" s="147">
        <f t="shared" si="27"/>
        <v>15</v>
      </c>
      <c r="BF31" s="134">
        <f t="shared" ref="BF31:BF39" si="40">(BE31/$BE$25)*100</f>
        <v>25.423728813559322</v>
      </c>
      <c r="BG31" s="147">
        <f t="shared" si="28"/>
        <v>8</v>
      </c>
      <c r="BH31" s="134">
        <f t="shared" si="12"/>
        <v>57.142857142857139</v>
      </c>
      <c r="BI31" s="147">
        <f t="shared" si="29"/>
        <v>126</v>
      </c>
      <c r="BJ31" s="134">
        <f t="shared" si="13"/>
        <v>55.506607929515418</v>
      </c>
      <c r="BK31" s="147">
        <f t="shared" si="30"/>
        <v>321</v>
      </c>
      <c r="BL31" s="134">
        <f t="shared" si="14"/>
        <v>62.941176470588232</v>
      </c>
      <c r="BM31" s="147">
        <f t="shared" si="31"/>
        <v>400</v>
      </c>
      <c r="BN31" s="134">
        <f t="shared" si="15"/>
        <v>66.006600660065999</v>
      </c>
      <c r="BO31" s="147">
        <f t="shared" si="32"/>
        <v>168</v>
      </c>
      <c r="BP31" s="134">
        <f t="shared" si="16"/>
        <v>55.081967213114758</v>
      </c>
      <c r="BQ31" s="147">
        <f t="shared" si="33"/>
        <v>177</v>
      </c>
      <c r="BR31" s="134">
        <f>(BQ31/$BQ$25)*100</f>
        <v>52.994011976047908</v>
      </c>
      <c r="BS31" s="147">
        <f t="shared" si="34"/>
        <v>265</v>
      </c>
      <c r="BT31" s="134">
        <f t="shared" si="18"/>
        <v>56.98924731182796</v>
      </c>
      <c r="BU31" s="147">
        <f t="shared" si="35"/>
        <v>314</v>
      </c>
      <c r="BV31" s="134">
        <f t="shared" si="19"/>
        <v>56.474820143884898</v>
      </c>
      <c r="BW31" s="147">
        <f t="shared" si="36"/>
        <v>279</v>
      </c>
      <c r="BX31" s="134">
        <f t="shared" si="20"/>
        <v>51.955307262569825</v>
      </c>
      <c r="BY31" s="147">
        <f t="shared" si="37"/>
        <v>109</v>
      </c>
      <c r="BZ31" s="134">
        <f t="shared" si="21"/>
        <v>60.893854748603346</v>
      </c>
      <c r="CA31" s="147">
        <f t="shared" si="38"/>
        <v>140</v>
      </c>
      <c r="CB31" s="134">
        <f t="shared" si="22"/>
        <v>70</v>
      </c>
      <c r="CC31" s="144">
        <f t="shared" si="39"/>
        <v>2323</v>
      </c>
      <c r="CD31" s="134">
        <f t="shared" si="23"/>
        <v>58.176809416478839</v>
      </c>
      <c r="CF31" s="195">
        <f>SL_pooling!B40</f>
        <v>17</v>
      </c>
      <c r="CG31" s="195">
        <f>SL_pooling!C40</f>
        <v>49.666666666666664</v>
      </c>
      <c r="CH31" s="195">
        <f>SL_pooling!D40</f>
        <v>49.666666666666664</v>
      </c>
      <c r="CI31" s="195">
        <f>SL_pooling!E40</f>
        <v>49.666666666666664</v>
      </c>
      <c r="CJ31" s="195">
        <f>SL_pooling!F40</f>
        <v>62.941176470588232</v>
      </c>
      <c r="CK31" s="195">
        <f>SL_pooling!G40</f>
        <v>66.006600660065999</v>
      </c>
      <c r="CL31" s="195">
        <f>SL_pooling!H40</f>
        <v>55.081967213114758</v>
      </c>
      <c r="CM31" s="195">
        <f>SL_pooling!I40</f>
        <v>52.994011976047908</v>
      </c>
      <c r="CN31" s="195">
        <f>SL_pooling!J40</f>
        <v>56.98924731182796</v>
      </c>
      <c r="CO31" s="195">
        <f>SL_pooling!K40</f>
        <v>56.474820143884898</v>
      </c>
      <c r="CP31" s="195">
        <f>SL_pooling!L40</f>
        <v>57.641921397379917</v>
      </c>
      <c r="CQ31" s="195">
        <f>SL_pooling!M40</f>
        <v>57.641921397379917</v>
      </c>
      <c r="CR31" s="195">
        <f>SL_pooling!N40</f>
        <v>57.641921397379917</v>
      </c>
      <c r="CT31" s="195">
        <f t="shared" si="25"/>
        <v>17</v>
      </c>
      <c r="CU31" s="12">
        <f t="shared" si="26"/>
        <v>0.49666666666666665</v>
      </c>
      <c r="CV31" s="12">
        <f t="shared" si="24"/>
        <v>0.49666666666666665</v>
      </c>
      <c r="CW31" s="12">
        <f t="shared" si="24"/>
        <v>0.49666666666666665</v>
      </c>
      <c r="CX31" s="12">
        <f t="shared" si="24"/>
        <v>0.62941176470588234</v>
      </c>
      <c r="CY31" s="12">
        <f t="shared" si="24"/>
        <v>0.66006600660065995</v>
      </c>
      <c r="CZ31" s="12">
        <f t="shared" si="24"/>
        <v>0.55081967213114758</v>
      </c>
      <c r="DA31" s="12">
        <f t="shared" si="24"/>
        <v>0.52994011976047906</v>
      </c>
      <c r="DB31" s="12">
        <f t="shared" si="24"/>
        <v>0.56989247311827962</v>
      </c>
      <c r="DC31" s="12">
        <f t="shared" si="24"/>
        <v>0.56474820143884896</v>
      </c>
      <c r="DD31" s="12">
        <f t="shared" si="24"/>
        <v>0.57641921397379914</v>
      </c>
      <c r="DE31" s="12">
        <f t="shared" si="24"/>
        <v>0.57641921397379914</v>
      </c>
      <c r="DF31" s="12">
        <f t="shared" si="24"/>
        <v>0.57641921397379914</v>
      </c>
    </row>
    <row r="32" spans="1:110" ht="15.6" thickTop="1" thickBot="1" x14ac:dyDescent="0.35">
      <c r="A32" s="108">
        <v>7</v>
      </c>
      <c r="B32" s="109">
        <v>0</v>
      </c>
      <c r="C32" s="109">
        <v>0</v>
      </c>
      <c r="D32" s="109">
        <v>0</v>
      </c>
      <c r="E32" s="109">
        <v>0</v>
      </c>
      <c r="F32" s="109">
        <v>0</v>
      </c>
      <c r="G32" s="109">
        <v>0</v>
      </c>
      <c r="H32" s="109">
        <v>0</v>
      </c>
      <c r="I32" s="109">
        <v>0</v>
      </c>
      <c r="J32" s="109">
        <v>0</v>
      </c>
      <c r="K32" s="109">
        <v>0</v>
      </c>
      <c r="L32" s="109">
        <v>0</v>
      </c>
      <c r="M32" s="109">
        <v>0</v>
      </c>
      <c r="Z32" s="143"/>
      <c r="AA32" s="143">
        <v>18</v>
      </c>
      <c r="AB32" s="143">
        <v>15</v>
      </c>
      <c r="AC32" s="143">
        <v>24.9</v>
      </c>
      <c r="AD32" s="143">
        <v>8</v>
      </c>
      <c r="AE32" s="143">
        <v>62.7</v>
      </c>
      <c r="AF32" s="143">
        <v>144</v>
      </c>
      <c r="AG32" s="143">
        <v>63.3</v>
      </c>
      <c r="AH32" s="143">
        <v>339</v>
      </c>
      <c r="AI32" s="143">
        <v>66.5</v>
      </c>
      <c r="AJ32" s="143">
        <v>416</v>
      </c>
      <c r="AK32" s="143">
        <v>68.8</v>
      </c>
      <c r="AL32" s="143">
        <v>185</v>
      </c>
      <c r="AM32" s="143">
        <v>63.4</v>
      </c>
      <c r="AN32" s="143">
        <v>208</v>
      </c>
      <c r="AO32" s="143">
        <v>62.9</v>
      </c>
      <c r="AP32" s="143">
        <v>296</v>
      </c>
      <c r="AQ32" s="143">
        <v>64.400000000000006</v>
      </c>
      <c r="AR32" s="143">
        <v>360</v>
      </c>
      <c r="AS32" s="143">
        <v>64.7</v>
      </c>
      <c r="AT32" s="143">
        <v>346</v>
      </c>
      <c r="AU32" s="143">
        <v>64.3</v>
      </c>
      <c r="AV32" s="143">
        <v>127</v>
      </c>
      <c r="AW32" s="143">
        <v>71.2</v>
      </c>
      <c r="AX32" s="143">
        <v>144</v>
      </c>
      <c r="AY32" s="143">
        <v>71.7</v>
      </c>
      <c r="AZ32" s="144">
        <v>2588</v>
      </c>
      <c r="BA32" s="143">
        <v>65.2</v>
      </c>
      <c r="BC32" s="147"/>
      <c r="BD32" s="147">
        <v>18</v>
      </c>
      <c r="BE32" s="147">
        <f t="shared" si="27"/>
        <v>15</v>
      </c>
      <c r="BF32" s="134">
        <f t="shared" si="40"/>
        <v>25.423728813559322</v>
      </c>
      <c r="BG32" s="147">
        <f t="shared" si="28"/>
        <v>8</v>
      </c>
      <c r="BH32" s="134">
        <f t="shared" si="12"/>
        <v>57.142857142857139</v>
      </c>
      <c r="BI32" s="147">
        <f t="shared" si="29"/>
        <v>144</v>
      </c>
      <c r="BJ32" s="134">
        <f t="shared" si="13"/>
        <v>63.436123348017624</v>
      </c>
      <c r="BK32" s="147">
        <f t="shared" si="30"/>
        <v>339</v>
      </c>
      <c r="BL32" s="134">
        <f t="shared" si="14"/>
        <v>66.470588235294116</v>
      </c>
      <c r="BM32" s="147">
        <f t="shared" si="31"/>
        <v>418</v>
      </c>
      <c r="BN32" s="134">
        <f t="shared" si="15"/>
        <v>68.976897689768975</v>
      </c>
      <c r="BO32" s="147">
        <f t="shared" si="32"/>
        <v>196</v>
      </c>
      <c r="BP32" s="134">
        <f t="shared" si="16"/>
        <v>64.26229508196721</v>
      </c>
      <c r="BQ32" s="147">
        <f t="shared" si="33"/>
        <v>211</v>
      </c>
      <c r="BR32" s="134">
        <f t="shared" si="17"/>
        <v>63.17365269461078</v>
      </c>
      <c r="BS32" s="147">
        <f t="shared" si="34"/>
        <v>301</v>
      </c>
      <c r="BT32" s="134">
        <f t="shared" si="18"/>
        <v>64.731182795698928</v>
      </c>
      <c r="BU32" s="147">
        <f t="shared" si="35"/>
        <v>360</v>
      </c>
      <c r="BV32" s="134">
        <f>(BU32/$BU$25)*100</f>
        <v>64.748201438848923</v>
      </c>
      <c r="BW32" s="147">
        <f t="shared" si="36"/>
        <v>346</v>
      </c>
      <c r="BX32" s="134">
        <f t="shared" si="20"/>
        <v>64.432029795158286</v>
      </c>
      <c r="BY32" s="147">
        <f t="shared" si="37"/>
        <v>127</v>
      </c>
      <c r="BZ32" s="134">
        <f>(BY32/$BY$25)*100</f>
        <v>70.949720670391059</v>
      </c>
      <c r="CA32" s="147">
        <f t="shared" si="38"/>
        <v>144</v>
      </c>
      <c r="CB32" s="134">
        <f t="shared" si="22"/>
        <v>72</v>
      </c>
      <c r="CC32" s="147">
        <f t="shared" si="39"/>
        <v>2610</v>
      </c>
      <c r="CD32" s="134">
        <f t="shared" si="23"/>
        <v>65.364387678437268</v>
      </c>
      <c r="CF32" s="195">
        <f>SL_pooling!B41</f>
        <v>18</v>
      </c>
      <c r="CG32" s="195">
        <f>SL_pooling!C41</f>
        <v>55.666666666666664</v>
      </c>
      <c r="CH32" s="195">
        <f>SL_pooling!D41</f>
        <v>55.666666666666664</v>
      </c>
      <c r="CI32" s="195">
        <f>SL_pooling!E41</f>
        <v>55.666666666666664</v>
      </c>
      <c r="CJ32" s="195">
        <f>SL_pooling!F41</f>
        <v>66.470588235294116</v>
      </c>
      <c r="CK32" s="195">
        <f>SL_pooling!G41</f>
        <v>68.976897689768975</v>
      </c>
      <c r="CL32" s="195">
        <f>SL_pooling!H41</f>
        <v>64.26229508196721</v>
      </c>
      <c r="CM32" s="195">
        <f>SL_pooling!I41</f>
        <v>63.17365269461078</v>
      </c>
      <c r="CN32" s="195">
        <f>SL_pooling!J41</f>
        <v>64.731182795698928</v>
      </c>
      <c r="CO32" s="195">
        <f>SL_pooling!K41</f>
        <v>64.748201438848923</v>
      </c>
      <c r="CP32" s="195">
        <f>SL_pooling!L41</f>
        <v>67.358078602620083</v>
      </c>
      <c r="CQ32" s="195">
        <f>SL_pooling!M41</f>
        <v>67.358078602620083</v>
      </c>
      <c r="CR32" s="195">
        <f>SL_pooling!N41</f>
        <v>67.358078602620083</v>
      </c>
      <c r="CT32" s="195">
        <f t="shared" si="25"/>
        <v>18</v>
      </c>
      <c r="CU32" s="12">
        <f t="shared" si="26"/>
        <v>0.55666666666666664</v>
      </c>
      <c r="CV32" s="12">
        <f t="shared" si="24"/>
        <v>0.55666666666666664</v>
      </c>
      <c r="CW32" s="12">
        <f t="shared" si="24"/>
        <v>0.55666666666666664</v>
      </c>
      <c r="CX32" s="12">
        <f t="shared" si="24"/>
        <v>0.66470588235294115</v>
      </c>
      <c r="CY32" s="12">
        <f t="shared" si="24"/>
        <v>0.68976897689768979</v>
      </c>
      <c r="CZ32" s="12">
        <f t="shared" si="24"/>
        <v>0.64262295081967213</v>
      </c>
      <c r="DA32" s="12">
        <f t="shared" si="24"/>
        <v>0.63173652694610782</v>
      </c>
      <c r="DB32" s="12">
        <f t="shared" si="24"/>
        <v>0.64731182795698927</v>
      </c>
      <c r="DC32" s="12">
        <f t="shared" si="24"/>
        <v>0.64748201438848918</v>
      </c>
      <c r="DD32" s="12">
        <f t="shared" si="24"/>
        <v>0.67358078602620086</v>
      </c>
      <c r="DE32" s="12">
        <f t="shared" si="24"/>
        <v>0.67358078602620086</v>
      </c>
      <c r="DF32" s="12">
        <f t="shared" si="24"/>
        <v>0.67358078602620086</v>
      </c>
    </row>
    <row r="33" spans="1:111" ht="15.6" thickTop="1" thickBot="1" x14ac:dyDescent="0.35">
      <c r="A33" s="108">
        <v>8</v>
      </c>
      <c r="B33" s="109">
        <v>0</v>
      </c>
      <c r="C33" s="109">
        <v>0</v>
      </c>
      <c r="D33" s="109">
        <v>0</v>
      </c>
      <c r="E33" s="109">
        <v>0</v>
      </c>
      <c r="F33" s="109">
        <v>0</v>
      </c>
      <c r="G33" s="109">
        <v>0</v>
      </c>
      <c r="H33" s="109">
        <v>0</v>
      </c>
      <c r="I33" s="109">
        <v>0</v>
      </c>
      <c r="J33" s="109">
        <v>0</v>
      </c>
      <c r="K33" s="109">
        <v>0</v>
      </c>
      <c r="L33" s="109">
        <v>0</v>
      </c>
      <c r="M33" s="109">
        <v>0</v>
      </c>
      <c r="Z33" s="143"/>
      <c r="AA33" s="143">
        <v>19</v>
      </c>
      <c r="AB33" s="143">
        <v>15</v>
      </c>
      <c r="AC33" s="143">
        <v>24.9</v>
      </c>
      <c r="AD33" s="143">
        <v>8</v>
      </c>
      <c r="AE33" s="143">
        <v>62.7</v>
      </c>
      <c r="AF33" s="143">
        <v>144</v>
      </c>
      <c r="AG33" s="143">
        <v>63.3</v>
      </c>
      <c r="AH33" s="143">
        <v>361</v>
      </c>
      <c r="AI33" s="143">
        <v>70.7</v>
      </c>
      <c r="AJ33" s="143">
        <v>436</v>
      </c>
      <c r="AK33" s="143">
        <v>72.2</v>
      </c>
      <c r="AL33" s="143">
        <v>206</v>
      </c>
      <c r="AM33" s="143">
        <v>70.5</v>
      </c>
      <c r="AN33" s="143">
        <v>229</v>
      </c>
      <c r="AO33" s="143">
        <v>69</v>
      </c>
      <c r="AP33" s="143">
        <v>312</v>
      </c>
      <c r="AQ33" s="143">
        <v>67.8</v>
      </c>
      <c r="AR33" s="143">
        <v>382</v>
      </c>
      <c r="AS33" s="143">
        <v>68.8</v>
      </c>
      <c r="AT33" s="143">
        <v>371</v>
      </c>
      <c r="AU33" s="143">
        <v>69.099999999999994</v>
      </c>
      <c r="AV33" s="143">
        <v>137</v>
      </c>
      <c r="AW33" s="143">
        <v>76.5</v>
      </c>
      <c r="AX33" s="143">
        <v>154</v>
      </c>
      <c r="AY33" s="143">
        <v>76.900000000000006</v>
      </c>
      <c r="AZ33" s="144">
        <v>2754</v>
      </c>
      <c r="BA33" s="143">
        <v>69.400000000000006</v>
      </c>
      <c r="BC33" s="147"/>
      <c r="BD33" s="147">
        <v>19</v>
      </c>
      <c r="BE33" s="147">
        <f t="shared" si="27"/>
        <v>15</v>
      </c>
      <c r="BF33" s="134">
        <f>(BE33/$BE$25)*100</f>
        <v>25.423728813559322</v>
      </c>
      <c r="BG33" s="147">
        <f t="shared" si="28"/>
        <v>8</v>
      </c>
      <c r="BH33" s="134">
        <f>(BG33/$BG$25)*100</f>
        <v>57.142857142857139</v>
      </c>
      <c r="BI33" s="147">
        <f t="shared" si="29"/>
        <v>144</v>
      </c>
      <c r="BJ33" s="134">
        <f t="shared" si="13"/>
        <v>63.436123348017624</v>
      </c>
      <c r="BK33" s="147">
        <f t="shared" si="30"/>
        <v>361</v>
      </c>
      <c r="BL33" s="134">
        <f t="shared" si="14"/>
        <v>70.784313725490193</v>
      </c>
      <c r="BM33" s="147">
        <f t="shared" si="31"/>
        <v>438</v>
      </c>
      <c r="BN33" s="134">
        <f t="shared" si="15"/>
        <v>72.277227722772281</v>
      </c>
      <c r="BO33" s="147">
        <f t="shared" si="32"/>
        <v>217</v>
      </c>
      <c r="BP33" s="134">
        <f>(BO33/$BO$25)*100</f>
        <v>71.147540983606561</v>
      </c>
      <c r="BQ33" s="147">
        <f t="shared" si="33"/>
        <v>232</v>
      </c>
      <c r="BR33" s="134">
        <f t="shared" si="17"/>
        <v>69.461077844311376</v>
      </c>
      <c r="BS33" s="147">
        <f t="shared" si="34"/>
        <v>317</v>
      </c>
      <c r="BT33" s="134">
        <f t="shared" si="18"/>
        <v>68.172043010752688</v>
      </c>
      <c r="BU33" s="147">
        <f t="shared" si="35"/>
        <v>382</v>
      </c>
      <c r="BV33" s="134">
        <f t="shared" si="19"/>
        <v>68.705035971223012</v>
      </c>
      <c r="BW33" s="147">
        <f t="shared" si="36"/>
        <v>371</v>
      </c>
      <c r="BX33" s="134">
        <f t="shared" si="20"/>
        <v>69.087523277467412</v>
      </c>
      <c r="BY33" s="147">
        <f t="shared" si="37"/>
        <v>137</v>
      </c>
      <c r="BZ33" s="134">
        <f t="shared" si="21"/>
        <v>76.536312849162016</v>
      </c>
      <c r="CA33" s="147">
        <f t="shared" si="38"/>
        <v>154</v>
      </c>
      <c r="CB33" s="134">
        <f>(CA33/$CA$25)*100</f>
        <v>77</v>
      </c>
      <c r="CC33" s="147">
        <f t="shared" si="39"/>
        <v>2776</v>
      </c>
      <c r="CD33" s="134">
        <f t="shared" si="23"/>
        <v>69.521662910092658</v>
      </c>
      <c r="CF33" s="195">
        <f>SL_pooling!B42</f>
        <v>19</v>
      </c>
      <c r="CG33" s="195">
        <f>SL_pooling!C42</f>
        <v>55.666666666666664</v>
      </c>
      <c r="CH33" s="195">
        <f>SL_pooling!D42</f>
        <v>55.666666666666664</v>
      </c>
      <c r="CI33" s="195">
        <f>SL_pooling!E42</f>
        <v>55.666666666666664</v>
      </c>
      <c r="CJ33" s="195">
        <f>SL_pooling!F42</f>
        <v>70.784313725490193</v>
      </c>
      <c r="CK33" s="195">
        <f>SL_pooling!G42</f>
        <v>72.277227722772281</v>
      </c>
      <c r="CL33" s="195">
        <f>SL_pooling!H42</f>
        <v>71.147540983606561</v>
      </c>
      <c r="CM33" s="195">
        <f>SL_pooling!I42</f>
        <v>69.461077844311376</v>
      </c>
      <c r="CN33" s="195">
        <f>SL_pooling!J42</f>
        <v>68.172043010752688</v>
      </c>
      <c r="CO33" s="195">
        <f>SL_pooling!K42</f>
        <v>68.705035971223012</v>
      </c>
      <c r="CP33" s="195">
        <f>SL_pooling!L42</f>
        <v>72.270742358078593</v>
      </c>
      <c r="CQ33" s="195">
        <f>SL_pooling!M42</f>
        <v>72.270742358078593</v>
      </c>
      <c r="CR33" s="195">
        <f>SL_pooling!N42</f>
        <v>72.270742358078593</v>
      </c>
      <c r="CT33" s="195">
        <f t="shared" si="25"/>
        <v>19</v>
      </c>
      <c r="CU33" s="12">
        <f t="shared" si="26"/>
        <v>0.55666666666666664</v>
      </c>
      <c r="CV33" s="12">
        <f t="shared" si="24"/>
        <v>0.55666666666666664</v>
      </c>
      <c r="CW33" s="12">
        <f t="shared" si="24"/>
        <v>0.55666666666666664</v>
      </c>
      <c r="CX33" s="12">
        <f t="shared" si="24"/>
        <v>0.70784313725490189</v>
      </c>
      <c r="CY33" s="12">
        <f t="shared" si="24"/>
        <v>0.72277227722772286</v>
      </c>
      <c r="CZ33" s="12">
        <f t="shared" si="24"/>
        <v>0.71147540983606561</v>
      </c>
      <c r="DA33" s="12">
        <f t="shared" si="24"/>
        <v>0.69461077844311381</v>
      </c>
      <c r="DB33" s="12">
        <f t="shared" si="24"/>
        <v>0.68172043010752692</v>
      </c>
      <c r="DC33" s="12">
        <f t="shared" si="24"/>
        <v>0.68705035971223016</v>
      </c>
      <c r="DD33" s="12">
        <f t="shared" si="24"/>
        <v>0.72270742358078588</v>
      </c>
      <c r="DE33" s="12">
        <f t="shared" si="24"/>
        <v>0.72270742358078588</v>
      </c>
      <c r="DF33" s="12">
        <f t="shared" si="24"/>
        <v>0.72270742358078588</v>
      </c>
    </row>
    <row r="34" spans="1:111" ht="15" thickTop="1" x14ac:dyDescent="0.3">
      <c r="A34" s="108">
        <v>9</v>
      </c>
      <c r="B34" s="109">
        <v>0</v>
      </c>
      <c r="C34" s="109">
        <v>0</v>
      </c>
      <c r="D34" s="109">
        <v>0</v>
      </c>
      <c r="E34" s="109">
        <v>0</v>
      </c>
      <c r="F34" s="109">
        <v>0</v>
      </c>
      <c r="G34" s="109">
        <v>0</v>
      </c>
      <c r="H34" s="109">
        <v>0</v>
      </c>
      <c r="I34" s="109">
        <v>0</v>
      </c>
      <c r="J34" s="109">
        <v>0</v>
      </c>
      <c r="K34" s="109">
        <v>0</v>
      </c>
      <c r="L34" s="109">
        <v>0</v>
      </c>
      <c r="M34" s="109">
        <v>0</v>
      </c>
      <c r="Z34" s="143"/>
      <c r="AA34" s="143">
        <v>20</v>
      </c>
      <c r="AB34" s="143">
        <v>15</v>
      </c>
      <c r="AC34" s="143">
        <v>24.9</v>
      </c>
      <c r="AD34" s="143">
        <v>8</v>
      </c>
      <c r="AE34" s="143">
        <v>62.7</v>
      </c>
      <c r="AF34" s="143">
        <v>144</v>
      </c>
      <c r="AG34" s="143">
        <v>63.3</v>
      </c>
      <c r="AH34" s="143">
        <v>368</v>
      </c>
      <c r="AI34" s="143">
        <v>72.099999999999994</v>
      </c>
      <c r="AJ34" s="143">
        <v>449</v>
      </c>
      <c r="AK34" s="143">
        <v>74.2</v>
      </c>
      <c r="AL34" s="143">
        <v>238</v>
      </c>
      <c r="AM34" s="143">
        <v>81.599999999999994</v>
      </c>
      <c r="AN34" s="143">
        <v>241</v>
      </c>
      <c r="AO34" s="143">
        <v>72.7</v>
      </c>
      <c r="AP34" s="143">
        <v>323</v>
      </c>
      <c r="AQ34" s="143">
        <v>70.099999999999994</v>
      </c>
      <c r="AR34" s="143">
        <v>402</v>
      </c>
      <c r="AS34" s="143">
        <v>72.2</v>
      </c>
      <c r="AT34" s="143">
        <v>401</v>
      </c>
      <c r="AU34" s="143">
        <v>74.599999999999994</v>
      </c>
      <c r="AV34" s="143">
        <v>137</v>
      </c>
      <c r="AW34" s="143">
        <v>76.5</v>
      </c>
      <c r="AX34" s="143">
        <v>160</v>
      </c>
      <c r="AY34" s="143">
        <v>79.900000000000006</v>
      </c>
      <c r="AZ34" s="144">
        <v>2884</v>
      </c>
      <c r="BA34" s="143">
        <v>72.599999999999994</v>
      </c>
      <c r="BC34" s="147"/>
      <c r="BD34" s="147">
        <v>20</v>
      </c>
      <c r="BE34" s="147">
        <f t="shared" si="27"/>
        <v>15</v>
      </c>
      <c r="BF34" s="134">
        <f t="shared" si="40"/>
        <v>25.423728813559322</v>
      </c>
      <c r="BG34" s="147">
        <f t="shared" si="28"/>
        <v>8</v>
      </c>
      <c r="BH34" s="134">
        <f t="shared" si="12"/>
        <v>57.142857142857139</v>
      </c>
      <c r="BI34" s="147">
        <f t="shared" si="29"/>
        <v>144</v>
      </c>
      <c r="BJ34" s="134">
        <f t="shared" si="13"/>
        <v>63.436123348017624</v>
      </c>
      <c r="BK34" s="147">
        <f t="shared" si="30"/>
        <v>368</v>
      </c>
      <c r="BL34" s="134">
        <f>(BK34/$BK$25)*100</f>
        <v>72.156862745098039</v>
      </c>
      <c r="BM34" s="147">
        <f t="shared" si="31"/>
        <v>451</v>
      </c>
      <c r="BN34" s="134">
        <f t="shared" si="15"/>
        <v>74.422442244224413</v>
      </c>
      <c r="BO34" s="147">
        <f t="shared" si="32"/>
        <v>249</v>
      </c>
      <c r="BP34" s="134">
        <f t="shared" si="16"/>
        <v>81.639344262295083</v>
      </c>
      <c r="BQ34" s="147">
        <f t="shared" si="33"/>
        <v>244</v>
      </c>
      <c r="BR34" s="134">
        <f t="shared" si="17"/>
        <v>73.053892215568865</v>
      </c>
      <c r="BS34" s="147">
        <f t="shared" si="34"/>
        <v>328</v>
      </c>
      <c r="BT34" s="134">
        <f t="shared" si="18"/>
        <v>70.537634408602145</v>
      </c>
      <c r="BU34" s="147">
        <f t="shared" si="35"/>
        <v>402</v>
      </c>
      <c r="BV34" s="134">
        <f t="shared" si="19"/>
        <v>72.302158273381295</v>
      </c>
      <c r="BW34" s="147">
        <f t="shared" si="36"/>
        <v>401</v>
      </c>
      <c r="BX34" s="134">
        <f t="shared" si="20"/>
        <v>74.674115456238368</v>
      </c>
      <c r="BY34" s="147">
        <f t="shared" si="37"/>
        <v>137</v>
      </c>
      <c r="BZ34" s="134">
        <f t="shared" si="21"/>
        <v>76.536312849162016</v>
      </c>
      <c r="CA34" s="147">
        <f t="shared" si="38"/>
        <v>160</v>
      </c>
      <c r="CB34" s="134">
        <f t="shared" si="22"/>
        <v>80</v>
      </c>
      <c r="CC34" s="147">
        <f t="shared" si="39"/>
        <v>2906</v>
      </c>
      <c r="CD34" s="134">
        <f t="shared" si="23"/>
        <v>72.777360380666167</v>
      </c>
      <c r="CF34" s="195">
        <f>SL_pooling!B43</f>
        <v>20</v>
      </c>
      <c r="CG34" s="195">
        <f>SL_pooling!C43</f>
        <v>55.666666666666664</v>
      </c>
      <c r="CH34" s="195">
        <f>SL_pooling!D43</f>
        <v>55.666666666666664</v>
      </c>
      <c r="CI34" s="195">
        <f>SL_pooling!E43</f>
        <v>55.666666666666664</v>
      </c>
      <c r="CJ34" s="195">
        <f>SL_pooling!F43</f>
        <v>72.156862745098039</v>
      </c>
      <c r="CK34" s="195">
        <f>SL_pooling!G43</f>
        <v>74.422442244224413</v>
      </c>
      <c r="CL34" s="195">
        <f>SL_pooling!H43</f>
        <v>81.639344262295083</v>
      </c>
      <c r="CM34" s="195">
        <f>SL_pooling!I43</f>
        <v>73.053892215568865</v>
      </c>
      <c r="CN34" s="195">
        <f>SL_pooling!J43</f>
        <v>70.537634408602145</v>
      </c>
      <c r="CO34" s="195">
        <f>SL_pooling!K43</f>
        <v>72.302158273381295</v>
      </c>
      <c r="CP34" s="195">
        <f>SL_pooling!L43</f>
        <v>76.200873362445407</v>
      </c>
      <c r="CQ34" s="195">
        <f>SL_pooling!M43</f>
        <v>76.200873362445407</v>
      </c>
      <c r="CR34" s="195">
        <f>SL_pooling!N43</f>
        <v>76.200873362445407</v>
      </c>
      <c r="CT34" s="195">
        <f t="shared" si="25"/>
        <v>20</v>
      </c>
      <c r="CU34" s="12">
        <f t="shared" si="26"/>
        <v>0.55666666666666664</v>
      </c>
      <c r="CV34" s="12">
        <f t="shared" si="24"/>
        <v>0.55666666666666664</v>
      </c>
      <c r="CW34" s="12">
        <f t="shared" si="24"/>
        <v>0.55666666666666664</v>
      </c>
      <c r="CX34" s="12">
        <f t="shared" si="24"/>
        <v>0.72156862745098038</v>
      </c>
      <c r="CY34" s="12">
        <f t="shared" si="24"/>
        <v>0.74422442244224418</v>
      </c>
      <c r="CZ34" s="12">
        <f t="shared" si="24"/>
        <v>0.81639344262295088</v>
      </c>
      <c r="DA34" s="12">
        <f t="shared" si="24"/>
        <v>0.73053892215568861</v>
      </c>
      <c r="DB34" s="12">
        <f t="shared" si="24"/>
        <v>0.70537634408602146</v>
      </c>
      <c r="DC34" s="12">
        <f t="shared" si="24"/>
        <v>0.7230215827338129</v>
      </c>
      <c r="DD34" s="12">
        <f t="shared" si="24"/>
        <v>0.76200873362445409</v>
      </c>
      <c r="DE34" s="12">
        <f t="shared" si="24"/>
        <v>0.76200873362445409</v>
      </c>
      <c r="DF34" s="12">
        <f t="shared" si="24"/>
        <v>0.76200873362445409</v>
      </c>
    </row>
    <row r="35" spans="1:111" x14ac:dyDescent="0.3">
      <c r="A35" s="108"/>
      <c r="Z35" s="143"/>
      <c r="AA35" s="143">
        <v>21</v>
      </c>
      <c r="AB35" s="143">
        <v>15</v>
      </c>
      <c r="AC35" s="143">
        <v>24.9</v>
      </c>
      <c r="AD35" s="143">
        <v>8</v>
      </c>
      <c r="AE35" s="143">
        <v>62.7</v>
      </c>
      <c r="AF35" s="143">
        <v>144</v>
      </c>
      <c r="AG35" s="143">
        <v>63.3</v>
      </c>
      <c r="AH35" s="143">
        <v>377</v>
      </c>
      <c r="AI35" s="143">
        <v>73.8</v>
      </c>
      <c r="AJ35" s="143">
        <v>470</v>
      </c>
      <c r="AK35" s="143">
        <v>77.7</v>
      </c>
      <c r="AL35" s="143">
        <v>252</v>
      </c>
      <c r="AM35" s="143">
        <v>86.3</v>
      </c>
      <c r="AN35" s="143">
        <v>248</v>
      </c>
      <c r="AO35" s="143">
        <v>74.900000000000006</v>
      </c>
      <c r="AP35" s="143">
        <v>330</v>
      </c>
      <c r="AQ35" s="143">
        <v>71.7</v>
      </c>
      <c r="AR35" s="143">
        <v>408</v>
      </c>
      <c r="AS35" s="143">
        <v>73.400000000000006</v>
      </c>
      <c r="AT35" s="143">
        <v>415</v>
      </c>
      <c r="AU35" s="143">
        <v>77.2</v>
      </c>
      <c r="AV35" s="143">
        <v>137</v>
      </c>
      <c r="AW35" s="143">
        <v>76.5</v>
      </c>
      <c r="AX35" s="143">
        <v>168</v>
      </c>
      <c r="AY35" s="143">
        <v>83.8</v>
      </c>
      <c r="AZ35" s="144">
        <v>2971</v>
      </c>
      <c r="BA35" s="143">
        <v>74.8</v>
      </c>
      <c r="BC35" s="147"/>
      <c r="BD35" s="147">
        <v>21</v>
      </c>
      <c r="BE35" s="147">
        <f t="shared" si="27"/>
        <v>15</v>
      </c>
      <c r="BF35" s="134">
        <f t="shared" si="40"/>
        <v>25.423728813559322</v>
      </c>
      <c r="BG35" s="147">
        <f t="shared" si="28"/>
        <v>8</v>
      </c>
      <c r="BH35" s="134">
        <f t="shared" si="12"/>
        <v>57.142857142857139</v>
      </c>
      <c r="BI35" s="147">
        <f t="shared" si="29"/>
        <v>144</v>
      </c>
      <c r="BJ35" s="134">
        <f t="shared" si="13"/>
        <v>63.436123348017624</v>
      </c>
      <c r="BK35" s="147">
        <f t="shared" si="30"/>
        <v>377</v>
      </c>
      <c r="BL35" s="134">
        <f t="shared" si="14"/>
        <v>73.921568627450981</v>
      </c>
      <c r="BM35" s="147">
        <f t="shared" si="31"/>
        <v>472</v>
      </c>
      <c r="BN35" s="134">
        <f t="shared" si="15"/>
        <v>77.887788778877891</v>
      </c>
      <c r="BO35" s="147">
        <f t="shared" si="32"/>
        <v>263</v>
      </c>
      <c r="BP35" s="134">
        <f t="shared" si="16"/>
        <v>86.229508196721312</v>
      </c>
      <c r="BQ35" s="147">
        <f t="shared" si="33"/>
        <v>251</v>
      </c>
      <c r="BR35" s="134">
        <f t="shared" si="17"/>
        <v>75.149700598802397</v>
      </c>
      <c r="BS35" s="147">
        <f t="shared" si="34"/>
        <v>335</v>
      </c>
      <c r="BT35" s="134">
        <f t="shared" si="18"/>
        <v>72.043010752688176</v>
      </c>
      <c r="BU35" s="147">
        <f t="shared" si="35"/>
        <v>408</v>
      </c>
      <c r="BV35" s="134">
        <f t="shared" si="19"/>
        <v>73.381294964028783</v>
      </c>
      <c r="BW35" s="147">
        <f t="shared" si="36"/>
        <v>415</v>
      </c>
      <c r="BX35" s="134">
        <f t="shared" si="20"/>
        <v>77.281191806331478</v>
      </c>
      <c r="BY35" s="147">
        <f t="shared" si="37"/>
        <v>137</v>
      </c>
      <c r="BZ35" s="134">
        <f t="shared" si="21"/>
        <v>76.536312849162016</v>
      </c>
      <c r="CA35" s="147">
        <f t="shared" si="38"/>
        <v>168</v>
      </c>
      <c r="CB35" s="134">
        <f t="shared" si="22"/>
        <v>84</v>
      </c>
      <c r="CC35" s="147">
        <f t="shared" si="39"/>
        <v>2993</v>
      </c>
      <c r="CD35" s="134">
        <f t="shared" si="23"/>
        <v>74.956173303280735</v>
      </c>
    </row>
    <row r="36" spans="1:111" x14ac:dyDescent="0.3">
      <c r="B36" s="239"/>
      <c r="C36" s="239"/>
      <c r="D36" s="239"/>
      <c r="E36" s="239"/>
      <c r="F36" s="239"/>
      <c r="G36" s="239"/>
      <c r="H36" s="239"/>
      <c r="I36" s="239"/>
      <c r="J36" s="239"/>
      <c r="K36" s="239"/>
      <c r="L36" s="239"/>
      <c r="Z36" s="143"/>
      <c r="AA36" s="143">
        <v>22</v>
      </c>
      <c r="AB36" s="143">
        <v>15</v>
      </c>
      <c r="AC36" s="143">
        <v>24.9</v>
      </c>
      <c r="AD36" s="143">
        <v>8</v>
      </c>
      <c r="AE36" s="143">
        <v>62.7</v>
      </c>
      <c r="AF36" s="143">
        <v>144</v>
      </c>
      <c r="AG36" s="143">
        <v>63.3</v>
      </c>
      <c r="AH36" s="143">
        <v>377</v>
      </c>
      <c r="AI36" s="143">
        <v>73.8</v>
      </c>
      <c r="AJ36" s="143">
        <v>470</v>
      </c>
      <c r="AK36" s="143">
        <v>77.7</v>
      </c>
      <c r="AL36" s="143">
        <v>252</v>
      </c>
      <c r="AM36" s="143">
        <v>86.3</v>
      </c>
      <c r="AN36" s="143">
        <v>248</v>
      </c>
      <c r="AO36" s="143">
        <v>74.900000000000006</v>
      </c>
      <c r="AP36" s="143">
        <v>339</v>
      </c>
      <c r="AQ36" s="143">
        <v>73.5</v>
      </c>
      <c r="AR36" s="143">
        <v>416</v>
      </c>
      <c r="AS36" s="143">
        <v>74.8</v>
      </c>
      <c r="AT36" s="143">
        <v>415</v>
      </c>
      <c r="AU36" s="143">
        <v>77.2</v>
      </c>
      <c r="AV36" s="143">
        <v>146</v>
      </c>
      <c r="AW36" s="143">
        <v>81.8</v>
      </c>
      <c r="AX36" s="143">
        <v>176</v>
      </c>
      <c r="AY36" s="143">
        <v>87.9</v>
      </c>
      <c r="AZ36" s="144">
        <v>3004</v>
      </c>
      <c r="BA36" s="143">
        <v>75.7</v>
      </c>
      <c r="BC36" s="147"/>
      <c r="BD36" s="147">
        <v>22</v>
      </c>
      <c r="BE36" s="147">
        <f t="shared" si="27"/>
        <v>15</v>
      </c>
      <c r="BF36" s="134">
        <f t="shared" si="40"/>
        <v>25.423728813559322</v>
      </c>
      <c r="BG36" s="147">
        <f t="shared" si="28"/>
        <v>8</v>
      </c>
      <c r="BH36" s="134">
        <f t="shared" si="12"/>
        <v>57.142857142857139</v>
      </c>
      <c r="BI36" s="147">
        <f t="shared" si="29"/>
        <v>144</v>
      </c>
      <c r="BJ36" s="134">
        <f t="shared" si="13"/>
        <v>63.436123348017624</v>
      </c>
      <c r="BK36" s="147">
        <f t="shared" si="30"/>
        <v>377</v>
      </c>
      <c r="BL36" s="134">
        <f t="shared" si="14"/>
        <v>73.921568627450981</v>
      </c>
      <c r="BM36" s="147">
        <f t="shared" si="31"/>
        <v>472</v>
      </c>
      <c r="BN36" s="134">
        <f>(BM36/$BM$25)*100</f>
        <v>77.887788778877891</v>
      </c>
      <c r="BO36" s="147">
        <f t="shared" si="32"/>
        <v>263</v>
      </c>
      <c r="BP36" s="134">
        <f t="shared" si="16"/>
        <v>86.229508196721312</v>
      </c>
      <c r="BQ36" s="147">
        <f t="shared" si="33"/>
        <v>251</v>
      </c>
      <c r="BR36" s="134">
        <f t="shared" si="17"/>
        <v>75.149700598802397</v>
      </c>
      <c r="BS36" s="147">
        <f t="shared" si="34"/>
        <v>344</v>
      </c>
      <c r="BT36" s="134">
        <f t="shared" si="18"/>
        <v>73.978494623655905</v>
      </c>
      <c r="BU36" s="147">
        <f t="shared" si="35"/>
        <v>416</v>
      </c>
      <c r="BV36" s="134">
        <f t="shared" si="19"/>
        <v>74.82014388489209</v>
      </c>
      <c r="BW36" s="147">
        <f t="shared" si="36"/>
        <v>415</v>
      </c>
      <c r="BX36" s="134">
        <f>(BW36/$BW$25)*100</f>
        <v>77.281191806331478</v>
      </c>
      <c r="BY36" s="147">
        <f t="shared" si="37"/>
        <v>146</v>
      </c>
      <c r="BZ36" s="134">
        <f t="shared" si="21"/>
        <v>81.564245810055866</v>
      </c>
      <c r="CA36" s="147">
        <f t="shared" si="38"/>
        <v>176</v>
      </c>
      <c r="CB36" s="134">
        <f t="shared" si="22"/>
        <v>88</v>
      </c>
      <c r="CC36" s="147">
        <f t="shared" si="39"/>
        <v>3026</v>
      </c>
      <c r="CD36" s="134">
        <f>(CC36/$CC$25)*100</f>
        <v>75.782619584272481</v>
      </c>
    </row>
    <row r="37" spans="1:111" x14ac:dyDescent="0.3">
      <c r="A37" s="192"/>
      <c r="B37" s="50"/>
      <c r="C37" s="50"/>
      <c r="D37" s="50"/>
      <c r="E37" s="240"/>
      <c r="F37" s="50"/>
      <c r="G37" s="239"/>
      <c r="H37" s="241"/>
      <c r="I37" s="156"/>
      <c r="J37" s="156"/>
      <c r="K37" s="50"/>
      <c r="L37" s="50"/>
      <c r="M37" s="192"/>
      <c r="Z37" s="143"/>
      <c r="AA37" s="143">
        <v>23</v>
      </c>
      <c r="AB37" s="143">
        <v>15</v>
      </c>
      <c r="AC37" s="143">
        <v>24.9</v>
      </c>
      <c r="AD37" s="143">
        <v>8</v>
      </c>
      <c r="AE37" s="143">
        <v>62.7</v>
      </c>
      <c r="AF37" s="143">
        <v>144</v>
      </c>
      <c r="AG37" s="143">
        <v>63.3</v>
      </c>
      <c r="AH37" s="143">
        <v>377</v>
      </c>
      <c r="AI37" s="143">
        <v>73.8</v>
      </c>
      <c r="AJ37" s="143">
        <v>470</v>
      </c>
      <c r="AK37" s="143">
        <v>77.7</v>
      </c>
      <c r="AL37" s="143">
        <v>252</v>
      </c>
      <c r="AM37" s="143">
        <v>86.3</v>
      </c>
      <c r="AN37" s="143">
        <v>248</v>
      </c>
      <c r="AO37" s="143">
        <v>74.900000000000006</v>
      </c>
      <c r="AP37" s="143">
        <v>339</v>
      </c>
      <c r="AQ37" s="143">
        <v>73.5</v>
      </c>
      <c r="AR37" s="143">
        <v>416</v>
      </c>
      <c r="AS37" s="143">
        <v>74.8</v>
      </c>
      <c r="AT37" s="143">
        <v>424</v>
      </c>
      <c r="AU37" s="143">
        <v>78.8</v>
      </c>
      <c r="AV37" s="143">
        <v>146</v>
      </c>
      <c r="AW37" s="143">
        <v>81.8</v>
      </c>
      <c r="AX37" s="143">
        <v>176</v>
      </c>
      <c r="AY37" s="143">
        <v>87.9</v>
      </c>
      <c r="AZ37" s="144">
        <v>3013</v>
      </c>
      <c r="BA37" s="143">
        <v>75.900000000000006</v>
      </c>
      <c r="BC37" s="147"/>
      <c r="BD37" s="147">
        <v>23</v>
      </c>
      <c r="BE37" s="147">
        <f t="shared" si="27"/>
        <v>15</v>
      </c>
      <c r="BF37" s="134">
        <f t="shared" si="40"/>
        <v>25.423728813559322</v>
      </c>
      <c r="BG37" s="147">
        <f t="shared" si="28"/>
        <v>8</v>
      </c>
      <c r="BH37" s="134">
        <f t="shared" si="12"/>
        <v>57.142857142857139</v>
      </c>
      <c r="BI37" s="147">
        <f t="shared" si="29"/>
        <v>144</v>
      </c>
      <c r="BJ37" s="134">
        <f>(BI37/$BI$25)*100</f>
        <v>63.436123348017624</v>
      </c>
      <c r="BK37" s="147">
        <f t="shared" si="30"/>
        <v>377</v>
      </c>
      <c r="BL37" s="134">
        <f t="shared" si="14"/>
        <v>73.921568627450981</v>
      </c>
      <c r="BM37" s="147">
        <f t="shared" si="31"/>
        <v>472</v>
      </c>
      <c r="BN37" s="134">
        <f t="shared" si="15"/>
        <v>77.887788778877891</v>
      </c>
      <c r="BO37" s="147">
        <f t="shared" si="32"/>
        <v>263</v>
      </c>
      <c r="BP37" s="134">
        <f t="shared" si="16"/>
        <v>86.229508196721312</v>
      </c>
      <c r="BQ37" s="147">
        <f t="shared" si="33"/>
        <v>251</v>
      </c>
      <c r="BR37" s="134">
        <f t="shared" si="17"/>
        <v>75.149700598802397</v>
      </c>
      <c r="BS37" s="147">
        <f t="shared" si="34"/>
        <v>344</v>
      </c>
      <c r="BT37" s="134">
        <f t="shared" si="18"/>
        <v>73.978494623655905</v>
      </c>
      <c r="BU37" s="147">
        <f t="shared" si="35"/>
        <v>416</v>
      </c>
      <c r="BV37" s="134">
        <f t="shared" si="19"/>
        <v>74.82014388489209</v>
      </c>
      <c r="BW37" s="147">
        <f t="shared" si="36"/>
        <v>424</v>
      </c>
      <c r="BX37" s="134">
        <f t="shared" si="20"/>
        <v>78.957169459962756</v>
      </c>
      <c r="BY37" s="147">
        <f t="shared" si="37"/>
        <v>146</v>
      </c>
      <c r="BZ37" s="134">
        <f t="shared" si="21"/>
        <v>81.564245810055866</v>
      </c>
      <c r="CA37" s="147">
        <f t="shared" si="38"/>
        <v>176</v>
      </c>
      <c r="CB37" s="134">
        <f t="shared" si="22"/>
        <v>88</v>
      </c>
      <c r="CC37" s="147">
        <f t="shared" si="39"/>
        <v>3035</v>
      </c>
      <c r="CD37" s="134">
        <f t="shared" si="23"/>
        <v>76.008014024542945</v>
      </c>
    </row>
    <row r="38" spans="1:111" x14ac:dyDescent="0.3">
      <c r="A38" s="193"/>
      <c r="B38" s="50"/>
      <c r="C38" s="50"/>
      <c r="D38" s="50"/>
      <c r="E38" s="240"/>
      <c r="F38" s="50"/>
      <c r="G38" s="50"/>
      <c r="H38" s="241"/>
      <c r="I38" s="156"/>
      <c r="J38" s="156"/>
      <c r="K38" s="50"/>
      <c r="L38" s="50"/>
      <c r="M38" s="192"/>
      <c r="Z38" s="143"/>
      <c r="AA38" s="143">
        <v>24</v>
      </c>
      <c r="AB38" s="143">
        <v>15</v>
      </c>
      <c r="AC38" s="143">
        <v>24.9</v>
      </c>
      <c r="AD38" s="143">
        <v>8</v>
      </c>
      <c r="AE38" s="143">
        <v>62.7</v>
      </c>
      <c r="AF38" s="143">
        <v>144</v>
      </c>
      <c r="AG38" s="143">
        <v>63.3</v>
      </c>
      <c r="AH38" s="143">
        <v>377</v>
      </c>
      <c r="AI38" s="143">
        <v>73.8</v>
      </c>
      <c r="AJ38" s="143">
        <v>470</v>
      </c>
      <c r="AK38" s="143">
        <v>77.7</v>
      </c>
      <c r="AL38" s="143">
        <v>252</v>
      </c>
      <c r="AM38" s="143">
        <v>86.3</v>
      </c>
      <c r="AN38" s="143">
        <v>248</v>
      </c>
      <c r="AO38" s="143">
        <v>74.900000000000006</v>
      </c>
      <c r="AP38" s="143">
        <v>339</v>
      </c>
      <c r="AQ38" s="143">
        <v>73.5</v>
      </c>
      <c r="AR38" s="143">
        <v>416</v>
      </c>
      <c r="AS38" s="143">
        <v>74.8</v>
      </c>
      <c r="AT38" s="143">
        <v>424</v>
      </c>
      <c r="AU38" s="143">
        <v>78.8</v>
      </c>
      <c r="AV38" s="143">
        <v>146</v>
      </c>
      <c r="AW38" s="143">
        <v>81.8</v>
      </c>
      <c r="AX38" s="143">
        <v>176</v>
      </c>
      <c r="AY38" s="143">
        <v>87.9</v>
      </c>
      <c r="AZ38" s="144">
        <v>3013</v>
      </c>
      <c r="BA38" s="143">
        <v>75.900000000000006</v>
      </c>
      <c r="BC38" s="147"/>
      <c r="BD38" s="147">
        <v>24</v>
      </c>
      <c r="BE38" s="147">
        <f t="shared" si="27"/>
        <v>15</v>
      </c>
      <c r="BF38" s="134">
        <f t="shared" si="40"/>
        <v>25.423728813559322</v>
      </c>
      <c r="BG38" s="147">
        <f t="shared" si="28"/>
        <v>8</v>
      </c>
      <c r="BH38" s="134">
        <f t="shared" si="12"/>
        <v>57.142857142857139</v>
      </c>
      <c r="BI38" s="147">
        <f t="shared" si="29"/>
        <v>144</v>
      </c>
      <c r="BJ38" s="134">
        <f t="shared" si="13"/>
        <v>63.436123348017624</v>
      </c>
      <c r="BK38" s="147">
        <f t="shared" si="30"/>
        <v>377</v>
      </c>
      <c r="BL38" s="134">
        <f t="shared" si="14"/>
        <v>73.921568627450981</v>
      </c>
      <c r="BM38" s="147">
        <f t="shared" si="31"/>
        <v>472</v>
      </c>
      <c r="BN38" s="134">
        <f t="shared" si="15"/>
        <v>77.887788778877891</v>
      </c>
      <c r="BO38" s="147">
        <f t="shared" si="32"/>
        <v>263</v>
      </c>
      <c r="BP38" s="134">
        <f t="shared" si="16"/>
        <v>86.229508196721312</v>
      </c>
      <c r="BQ38" s="147">
        <f t="shared" si="33"/>
        <v>251</v>
      </c>
      <c r="BR38" s="134">
        <f t="shared" si="17"/>
        <v>75.149700598802397</v>
      </c>
      <c r="BS38" s="147">
        <f t="shared" si="34"/>
        <v>344</v>
      </c>
      <c r="BT38" s="134">
        <f t="shared" si="18"/>
        <v>73.978494623655905</v>
      </c>
      <c r="BU38" s="147">
        <f t="shared" si="35"/>
        <v>416</v>
      </c>
      <c r="BV38" s="134">
        <f t="shared" si="19"/>
        <v>74.82014388489209</v>
      </c>
      <c r="BW38" s="147">
        <f t="shared" si="36"/>
        <v>424</v>
      </c>
      <c r="BX38" s="134">
        <f t="shared" si="20"/>
        <v>78.957169459962756</v>
      </c>
      <c r="BY38" s="147">
        <f t="shared" si="37"/>
        <v>146</v>
      </c>
      <c r="BZ38" s="134">
        <f t="shared" si="21"/>
        <v>81.564245810055866</v>
      </c>
      <c r="CA38" s="147">
        <f t="shared" si="38"/>
        <v>176</v>
      </c>
      <c r="CB38" s="134">
        <f t="shared" si="22"/>
        <v>88</v>
      </c>
      <c r="CC38" s="147">
        <f t="shared" si="39"/>
        <v>3035</v>
      </c>
      <c r="CD38" s="134">
        <f t="shared" si="23"/>
        <v>76.008014024542945</v>
      </c>
    </row>
    <row r="39" spans="1:111" x14ac:dyDescent="0.3">
      <c r="A39" s="193"/>
      <c r="B39" s="50"/>
      <c r="C39" s="50"/>
      <c r="D39" s="50"/>
      <c r="E39" s="240"/>
      <c r="F39" s="50"/>
      <c r="G39" s="50"/>
      <c r="H39" s="241"/>
      <c r="I39" s="156"/>
      <c r="J39" s="156"/>
      <c r="K39" s="50"/>
      <c r="L39" s="50"/>
      <c r="M39" s="192"/>
      <c r="Z39" s="143"/>
      <c r="AA39" s="143">
        <v>25</v>
      </c>
      <c r="AB39" s="143">
        <v>15</v>
      </c>
      <c r="AC39" s="143">
        <v>24.9</v>
      </c>
      <c r="AD39" s="143">
        <v>8</v>
      </c>
      <c r="AE39" s="143">
        <v>62.7</v>
      </c>
      <c r="AF39" s="143">
        <v>144</v>
      </c>
      <c r="AG39" s="143">
        <v>63.3</v>
      </c>
      <c r="AH39" s="143">
        <v>377</v>
      </c>
      <c r="AI39" s="143">
        <v>73.8</v>
      </c>
      <c r="AJ39" s="143">
        <v>470</v>
      </c>
      <c r="AK39" s="143">
        <v>77.7</v>
      </c>
      <c r="AL39" s="143">
        <v>252</v>
      </c>
      <c r="AM39" s="143">
        <v>86.3</v>
      </c>
      <c r="AN39" s="143">
        <v>248</v>
      </c>
      <c r="AO39" s="143">
        <v>74.900000000000006</v>
      </c>
      <c r="AP39" s="143">
        <v>339</v>
      </c>
      <c r="AQ39" s="143">
        <v>73.5</v>
      </c>
      <c r="AR39" s="143">
        <v>416</v>
      </c>
      <c r="AS39" s="143">
        <v>74.8</v>
      </c>
      <c r="AT39" s="143">
        <v>424</v>
      </c>
      <c r="AU39" s="143">
        <v>78.8</v>
      </c>
      <c r="AV39" s="143">
        <v>146</v>
      </c>
      <c r="AW39" s="143">
        <v>81.8</v>
      </c>
      <c r="AX39" s="143">
        <v>176</v>
      </c>
      <c r="AY39" s="143">
        <v>87.9</v>
      </c>
      <c r="AZ39" s="144">
        <v>3013</v>
      </c>
      <c r="BA39" s="143">
        <v>75.900000000000006</v>
      </c>
      <c r="BC39" s="147"/>
      <c r="BD39" s="147">
        <v>25</v>
      </c>
      <c r="BE39" s="147">
        <f t="shared" si="27"/>
        <v>15</v>
      </c>
      <c r="BF39" s="134">
        <f t="shared" si="40"/>
        <v>25.423728813559322</v>
      </c>
      <c r="BG39" s="147">
        <f t="shared" si="28"/>
        <v>8</v>
      </c>
      <c r="BH39" s="134">
        <f>(BG39/$BG$25)*100</f>
        <v>57.142857142857139</v>
      </c>
      <c r="BI39" s="147">
        <f t="shared" si="29"/>
        <v>144</v>
      </c>
      <c r="BJ39" s="134">
        <f t="shared" si="13"/>
        <v>63.436123348017624</v>
      </c>
      <c r="BK39" s="147">
        <f t="shared" si="30"/>
        <v>377</v>
      </c>
      <c r="BL39" s="134">
        <f t="shared" si="14"/>
        <v>73.921568627450981</v>
      </c>
      <c r="BM39" s="147">
        <f t="shared" si="31"/>
        <v>472</v>
      </c>
      <c r="BN39" s="134">
        <f t="shared" si="15"/>
        <v>77.887788778877891</v>
      </c>
      <c r="BO39" s="147">
        <f t="shared" si="32"/>
        <v>263</v>
      </c>
      <c r="BP39" s="134">
        <f t="shared" si="16"/>
        <v>86.229508196721312</v>
      </c>
      <c r="BQ39" s="147">
        <f t="shared" si="33"/>
        <v>251</v>
      </c>
      <c r="BR39" s="134">
        <f t="shared" si="17"/>
        <v>75.149700598802397</v>
      </c>
      <c r="BS39" s="147">
        <f t="shared" si="34"/>
        <v>344</v>
      </c>
      <c r="BT39" s="134">
        <f t="shared" si="18"/>
        <v>73.978494623655905</v>
      </c>
      <c r="BU39" s="147">
        <f t="shared" si="35"/>
        <v>416</v>
      </c>
      <c r="BV39" s="134">
        <f t="shared" si="19"/>
        <v>74.82014388489209</v>
      </c>
      <c r="BW39" s="147">
        <f t="shared" si="36"/>
        <v>424</v>
      </c>
      <c r="BX39" s="134">
        <f t="shared" si="20"/>
        <v>78.957169459962756</v>
      </c>
      <c r="BY39" s="147">
        <f t="shared" si="37"/>
        <v>146</v>
      </c>
      <c r="BZ39" s="134">
        <f>(BY39/$BY$25)*100</f>
        <v>81.564245810055866</v>
      </c>
      <c r="CA39" s="147">
        <f t="shared" si="38"/>
        <v>176</v>
      </c>
      <c r="CB39" s="134">
        <f t="shared" si="22"/>
        <v>88</v>
      </c>
      <c r="CC39" s="147">
        <f t="shared" si="39"/>
        <v>3035</v>
      </c>
      <c r="CD39" s="134">
        <f t="shared" si="23"/>
        <v>76.008014024542945</v>
      </c>
    </row>
    <row r="40" spans="1:111" x14ac:dyDescent="0.3">
      <c r="A40" s="193"/>
      <c r="B40" s="50"/>
      <c r="C40" s="50"/>
      <c r="D40" s="50"/>
      <c r="E40" s="240"/>
      <c r="F40" s="50"/>
      <c r="G40" s="50"/>
      <c r="H40" s="241"/>
      <c r="I40" s="156"/>
      <c r="J40" s="156"/>
      <c r="K40" s="50"/>
      <c r="L40" s="50"/>
    </row>
    <row r="41" spans="1:111" ht="15.6" x14ac:dyDescent="0.3">
      <c r="B41" s="239"/>
      <c r="C41" s="239"/>
      <c r="D41" s="239"/>
      <c r="E41" s="242"/>
      <c r="F41" s="239"/>
      <c r="G41" s="50"/>
      <c r="H41" s="241"/>
      <c r="I41" s="156"/>
      <c r="J41" s="156"/>
      <c r="K41" s="239"/>
      <c r="L41" s="239"/>
      <c r="Z41" s="11" t="s">
        <v>71</v>
      </c>
      <c r="BC41" s="133" t="s">
        <v>75</v>
      </c>
      <c r="BD41" s="147"/>
      <c r="BE41" s="147"/>
      <c r="BF41" s="147"/>
      <c r="BG41" s="147"/>
      <c r="BH41" s="147"/>
      <c r="BI41" s="147"/>
      <c r="BJ41" s="147"/>
      <c r="BK41" s="147"/>
      <c r="BL41" s="147"/>
      <c r="BM41" s="147"/>
      <c r="BN41" s="147"/>
      <c r="BO41" s="147"/>
      <c r="BP41" s="147"/>
      <c r="BQ41" s="147"/>
      <c r="BR41" s="147"/>
      <c r="BS41" s="147"/>
      <c r="BT41" s="147"/>
      <c r="BU41" s="147"/>
      <c r="BV41" s="147"/>
      <c r="BW41" s="147"/>
      <c r="BX41" s="147"/>
      <c r="BY41" s="147"/>
      <c r="BZ41" s="147"/>
      <c r="CA41" s="147"/>
      <c r="CB41" s="147"/>
      <c r="CC41" s="147"/>
      <c r="CD41" s="147"/>
      <c r="CE41" s="147"/>
      <c r="CF41" s="147"/>
      <c r="CG41" s="147"/>
      <c r="CH41" s="147"/>
      <c r="CI41" s="147"/>
      <c r="CJ41" s="147"/>
      <c r="CK41" s="147"/>
      <c r="CL41" s="147"/>
      <c r="CM41" s="147"/>
      <c r="CN41" s="147"/>
      <c r="CO41" s="147"/>
      <c r="CP41" s="147"/>
      <c r="CQ41" s="147"/>
      <c r="CR41" s="147"/>
      <c r="CS41" s="147"/>
      <c r="CT41" s="147"/>
      <c r="CU41" s="147"/>
    </row>
    <row r="42" spans="1:111" ht="15.6" x14ac:dyDescent="0.3">
      <c r="B42" s="239"/>
      <c r="C42" s="239"/>
      <c r="D42" s="239"/>
      <c r="E42" s="242"/>
      <c r="F42" s="239"/>
      <c r="G42" s="239"/>
      <c r="H42" s="241"/>
      <c r="I42" s="156"/>
      <c r="J42" s="156"/>
      <c r="K42" s="239"/>
      <c r="L42" s="239"/>
      <c r="AA42" s="143"/>
      <c r="AB42" s="133">
        <v>1</v>
      </c>
      <c r="AC42" s="143">
        <v>1</v>
      </c>
      <c r="AD42" s="133">
        <v>2</v>
      </c>
      <c r="AE42" s="143">
        <v>0</v>
      </c>
      <c r="AF42" s="133">
        <v>3</v>
      </c>
      <c r="AG42" s="143">
        <v>9</v>
      </c>
      <c r="AH42" s="133">
        <v>4</v>
      </c>
      <c r="AI42" s="143">
        <v>0</v>
      </c>
      <c r="AJ42" s="133">
        <v>5</v>
      </c>
      <c r="AK42" s="143">
        <v>19</v>
      </c>
      <c r="AL42" s="133">
        <v>6</v>
      </c>
      <c r="AM42" s="143">
        <v>20</v>
      </c>
      <c r="AN42" s="133">
        <v>7</v>
      </c>
      <c r="AO42" s="143">
        <v>17</v>
      </c>
      <c r="AP42" s="133">
        <v>8</v>
      </c>
      <c r="AQ42" s="143">
        <v>1</v>
      </c>
      <c r="AR42" s="133">
        <v>9</v>
      </c>
      <c r="AS42" s="143">
        <v>40</v>
      </c>
      <c r="AT42" s="133">
        <v>10</v>
      </c>
      <c r="AU42" s="143">
        <v>13</v>
      </c>
      <c r="AV42" s="133">
        <v>11</v>
      </c>
      <c r="AW42" s="143">
        <v>10</v>
      </c>
      <c r="AX42" s="133">
        <v>12</v>
      </c>
      <c r="AY42" s="143">
        <v>2</v>
      </c>
      <c r="AZ42" s="143" t="s">
        <v>65</v>
      </c>
      <c r="BA42" s="143"/>
      <c r="BC42" s="11" t="s">
        <v>84</v>
      </c>
      <c r="BD42" s="147"/>
      <c r="BE42" s="147"/>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218" t="s">
        <v>17</v>
      </c>
      <c r="CG42" s="218"/>
      <c r="CH42" s="218"/>
      <c r="CI42" s="218"/>
      <c r="CJ42" s="218"/>
      <c r="CK42" s="218"/>
      <c r="CL42" s="218"/>
      <c r="CM42" s="218"/>
      <c r="CN42" s="218"/>
      <c r="CO42" s="218"/>
      <c r="CP42" s="218"/>
      <c r="CQ42" s="218"/>
      <c r="CR42" s="218"/>
      <c r="CS42" s="147"/>
      <c r="CT42" s="218" t="s">
        <v>17</v>
      </c>
      <c r="CU42" s="218"/>
      <c r="CV42" s="218"/>
      <c r="CW42" s="218"/>
      <c r="CX42" s="218"/>
      <c r="CY42" s="218"/>
      <c r="CZ42" s="218"/>
      <c r="DA42" s="218"/>
      <c r="DB42" s="218"/>
      <c r="DC42" s="218"/>
      <c r="DD42" s="218"/>
      <c r="DE42" s="218"/>
      <c r="DF42" s="218"/>
    </row>
    <row r="43" spans="1:111" ht="15.6" x14ac:dyDescent="0.3">
      <c r="B43" s="239"/>
      <c r="C43" s="239"/>
      <c r="D43" s="239"/>
      <c r="E43" s="242"/>
      <c r="F43" s="239"/>
      <c r="G43" s="239"/>
      <c r="H43" s="241"/>
      <c r="I43" s="156"/>
      <c r="J43" s="156"/>
      <c r="K43" s="239"/>
      <c r="L43" s="239"/>
      <c r="Z43" s="143" t="s">
        <v>55</v>
      </c>
      <c r="AA43" s="143" t="s">
        <v>49</v>
      </c>
      <c r="AB43" s="143">
        <v>2</v>
      </c>
      <c r="AC43" s="143">
        <v>100</v>
      </c>
      <c r="AD43" s="143">
        <v>0</v>
      </c>
      <c r="AE43" s="143">
        <v>0</v>
      </c>
      <c r="AF43" s="143">
        <v>22</v>
      </c>
      <c r="AG43" s="143">
        <v>100</v>
      </c>
      <c r="AH43" s="143">
        <v>0</v>
      </c>
      <c r="AI43" s="143">
        <v>0</v>
      </c>
      <c r="AJ43" s="143">
        <v>60</v>
      </c>
      <c r="AK43" s="143">
        <v>100</v>
      </c>
      <c r="AL43" s="143">
        <v>61</v>
      </c>
      <c r="AM43" s="143">
        <v>100</v>
      </c>
      <c r="AN43" s="143">
        <v>41</v>
      </c>
      <c r="AO43" s="143">
        <v>100</v>
      </c>
      <c r="AP43" s="143">
        <v>2</v>
      </c>
      <c r="AQ43" s="143">
        <v>100</v>
      </c>
      <c r="AR43" s="143">
        <v>107</v>
      </c>
      <c r="AS43" s="143">
        <v>100</v>
      </c>
      <c r="AT43" s="143">
        <v>45</v>
      </c>
      <c r="AU43" s="143">
        <v>100</v>
      </c>
      <c r="AV43" s="143">
        <v>29</v>
      </c>
      <c r="AW43" s="143">
        <v>100</v>
      </c>
      <c r="AX43" s="143">
        <v>4</v>
      </c>
      <c r="AY43" s="143">
        <v>100</v>
      </c>
      <c r="AZ43" s="143">
        <v>373</v>
      </c>
      <c r="BA43" s="143">
        <v>100</v>
      </c>
      <c r="BC43" s="147" t="s">
        <v>43</v>
      </c>
      <c r="BD43" s="147"/>
      <c r="BE43" s="147">
        <v>1</v>
      </c>
      <c r="BF43" s="147"/>
      <c r="BG43" s="147">
        <v>2</v>
      </c>
      <c r="BH43" s="147"/>
      <c r="BI43" s="147">
        <v>3</v>
      </c>
      <c r="BJ43" s="147"/>
      <c r="BK43" s="147">
        <v>4</v>
      </c>
      <c r="BL43" s="147"/>
      <c r="BM43" s="147">
        <v>5</v>
      </c>
      <c r="BN43" s="147"/>
      <c r="BO43" s="147">
        <v>6</v>
      </c>
      <c r="BP43" s="147"/>
      <c r="BQ43" s="147">
        <v>7</v>
      </c>
      <c r="BR43" s="147"/>
      <c r="BS43" s="147">
        <v>8</v>
      </c>
      <c r="BT43" s="147"/>
      <c r="BU43" s="147">
        <v>9</v>
      </c>
      <c r="BV43" s="147"/>
      <c r="BW43" s="147">
        <v>10</v>
      </c>
      <c r="BX43" s="147"/>
      <c r="BY43" s="147">
        <v>11</v>
      </c>
      <c r="BZ43" s="147"/>
      <c r="CA43" s="147">
        <v>12</v>
      </c>
      <c r="CB43" s="147"/>
      <c r="CC43" s="147" t="s">
        <v>80</v>
      </c>
      <c r="CD43" s="147"/>
      <c r="CE43" s="147"/>
      <c r="CF43" s="200" t="s">
        <v>102</v>
      </c>
      <c r="CG43" s="147"/>
      <c r="CH43" s="147"/>
      <c r="CI43" s="147"/>
      <c r="CJ43" s="147"/>
      <c r="CK43" s="147"/>
      <c r="CL43" s="147"/>
      <c r="CM43" s="147"/>
      <c r="CN43" s="147"/>
      <c r="CO43" s="147"/>
      <c r="CP43" s="147"/>
      <c r="CQ43" s="147"/>
      <c r="CR43" s="147"/>
      <c r="CS43" s="147"/>
      <c r="CT43" s="147"/>
      <c r="CU43" s="147"/>
    </row>
    <row r="44" spans="1:111" x14ac:dyDescent="0.3">
      <c r="B44" s="239"/>
      <c r="C44" s="239"/>
      <c r="D44" s="239"/>
      <c r="E44" s="239"/>
      <c r="F44" s="239"/>
      <c r="G44" s="239"/>
      <c r="H44" s="239"/>
      <c r="I44" s="239"/>
      <c r="J44" s="239"/>
      <c r="K44" s="239"/>
      <c r="L44" s="239"/>
      <c r="Z44" s="141"/>
      <c r="AA44" s="143" t="s">
        <v>63</v>
      </c>
      <c r="AB44" s="143">
        <v>2</v>
      </c>
      <c r="AC44" s="143">
        <v>100</v>
      </c>
      <c r="AD44" s="143">
        <v>0</v>
      </c>
      <c r="AE44" s="143">
        <v>0</v>
      </c>
      <c r="AF44" s="143">
        <v>8</v>
      </c>
      <c r="AG44" s="143">
        <v>37</v>
      </c>
      <c r="AH44" s="143">
        <v>0</v>
      </c>
      <c r="AI44" s="143">
        <v>0</v>
      </c>
      <c r="AJ44" s="143">
        <v>6</v>
      </c>
      <c r="AK44" s="143">
        <v>10.3</v>
      </c>
      <c r="AL44" s="143">
        <v>16</v>
      </c>
      <c r="AM44" s="143">
        <v>25.7</v>
      </c>
      <c r="AN44" s="143">
        <v>18</v>
      </c>
      <c r="AO44" s="143">
        <v>43.4</v>
      </c>
      <c r="AP44" s="143">
        <v>0</v>
      </c>
      <c r="AQ44" s="143">
        <v>0</v>
      </c>
      <c r="AR44" s="143">
        <v>41</v>
      </c>
      <c r="AS44" s="143">
        <v>38.299999999999997</v>
      </c>
      <c r="AT44" s="143">
        <v>0</v>
      </c>
      <c r="AU44" s="143">
        <v>0</v>
      </c>
      <c r="AV44" s="143">
        <v>10</v>
      </c>
      <c r="AW44" s="143">
        <v>35.9</v>
      </c>
      <c r="AX44" s="143">
        <v>1</v>
      </c>
      <c r="AY44" s="143">
        <v>31.6</v>
      </c>
      <c r="AZ44" s="143">
        <v>102</v>
      </c>
      <c r="BA44" s="143">
        <v>27.5</v>
      </c>
      <c r="BC44" s="206" t="s">
        <v>75</v>
      </c>
      <c r="BD44" s="147" t="s">
        <v>49</v>
      </c>
      <c r="BE44" s="195">
        <f t="shared" ref="BE44:BE57" si="41">AB43+AB78</f>
        <v>2</v>
      </c>
      <c r="BF44" s="147">
        <v>100</v>
      </c>
      <c r="BG44" s="195">
        <f t="shared" ref="BG44:BG57" si="42">AD43+AD78</f>
        <v>2</v>
      </c>
      <c r="BH44" s="147">
        <v>100</v>
      </c>
      <c r="BI44" s="147">
        <f t="shared" ref="BI44:BI57" si="43">AF43+AF78</f>
        <v>31</v>
      </c>
      <c r="BJ44" s="147">
        <v>100</v>
      </c>
      <c r="BK44" s="195">
        <f t="shared" ref="BK44:BK57" si="44">AH43+AH78</f>
        <v>0</v>
      </c>
      <c r="BL44" s="134">
        <v>0</v>
      </c>
      <c r="BM44" s="147">
        <f t="shared" ref="BM44:BM57" si="45">AJ43+AJ78</f>
        <v>66</v>
      </c>
      <c r="BN44" s="147">
        <v>100</v>
      </c>
      <c r="BO44" s="147">
        <f t="shared" ref="BO44:BO57" si="46">AL43+AL78</f>
        <v>112</v>
      </c>
      <c r="BP44" s="147">
        <v>100</v>
      </c>
      <c r="BQ44" s="147">
        <f t="shared" ref="BQ44:BQ57" si="47">AN43+AN78</f>
        <v>92</v>
      </c>
      <c r="BR44" s="147">
        <f>AO44+AO80</f>
        <v>43.4</v>
      </c>
      <c r="BS44" s="147">
        <f t="shared" ref="BS44:BS57" si="48">AP43+AP78</f>
        <v>87</v>
      </c>
      <c r="BT44" s="147">
        <v>100</v>
      </c>
      <c r="BU44" s="147">
        <f t="shared" ref="BU44:BU57" si="49">AR43+AR78</f>
        <v>136</v>
      </c>
      <c r="BV44" s="147">
        <v>100</v>
      </c>
      <c r="BW44" s="147">
        <f t="shared" ref="BW44:BW57" si="50">AT43+AT78</f>
        <v>59</v>
      </c>
      <c r="BX44" s="147">
        <v>100</v>
      </c>
      <c r="BY44" s="147">
        <f t="shared" ref="BY44:BY57" si="51">AV43+AV78</f>
        <v>33</v>
      </c>
      <c r="BZ44" s="147">
        <v>100</v>
      </c>
      <c r="CA44" s="195">
        <f t="shared" ref="CA44:CA57" si="52">AX43+AX78</f>
        <v>5</v>
      </c>
      <c r="CB44" s="147">
        <v>100</v>
      </c>
      <c r="CC44" s="147">
        <f t="shared" ref="CC44:CC57" si="53">AZ43+AZ78</f>
        <v>628</v>
      </c>
      <c r="CD44" s="147">
        <v>100</v>
      </c>
      <c r="CE44" s="147"/>
      <c r="CF44" s="147" t="s">
        <v>37</v>
      </c>
      <c r="CG44" s="147" t="s">
        <v>76</v>
      </c>
      <c r="CH44" s="147"/>
      <c r="CI44" s="147"/>
      <c r="CJ44" s="147"/>
      <c r="CK44" s="147"/>
      <c r="CL44" s="147"/>
      <c r="CM44" s="147"/>
      <c r="CN44" s="147"/>
      <c r="CO44" s="147"/>
      <c r="CP44" s="147"/>
      <c r="CQ44" s="147"/>
      <c r="CR44" s="147"/>
      <c r="CS44" s="147"/>
      <c r="CT44" s="147"/>
      <c r="CU44" s="195" t="s">
        <v>103</v>
      </c>
    </row>
    <row r="45" spans="1:111" x14ac:dyDescent="0.3">
      <c r="B45" s="239"/>
      <c r="C45" s="239"/>
      <c r="D45" s="239"/>
      <c r="E45" s="239"/>
      <c r="F45" s="239"/>
      <c r="G45" s="239"/>
      <c r="H45" s="239"/>
      <c r="I45" s="239"/>
      <c r="J45" s="239"/>
      <c r="K45" s="239"/>
      <c r="L45" s="239"/>
      <c r="Z45" s="141"/>
      <c r="AA45" s="143">
        <v>14</v>
      </c>
      <c r="AB45" s="143">
        <v>0</v>
      </c>
      <c r="AC45" s="143">
        <v>0</v>
      </c>
      <c r="AD45" s="143">
        <v>0</v>
      </c>
      <c r="AE45" s="143">
        <v>0</v>
      </c>
      <c r="AF45" s="143">
        <v>0</v>
      </c>
      <c r="AG45" s="143">
        <v>0</v>
      </c>
      <c r="AH45" s="143">
        <v>0</v>
      </c>
      <c r="AI45" s="143">
        <v>0</v>
      </c>
      <c r="AJ45" s="143">
        <v>0</v>
      </c>
      <c r="AK45" s="143">
        <v>0</v>
      </c>
      <c r="AL45" s="143">
        <v>0</v>
      </c>
      <c r="AM45" s="143">
        <v>0</v>
      </c>
      <c r="AN45" s="143">
        <v>0</v>
      </c>
      <c r="AO45" s="143">
        <v>0</v>
      </c>
      <c r="AP45" s="143">
        <v>0</v>
      </c>
      <c r="AQ45" s="143">
        <v>0</v>
      </c>
      <c r="AR45" s="143">
        <v>0</v>
      </c>
      <c r="AS45" s="143">
        <v>0</v>
      </c>
      <c r="AT45" s="143">
        <v>0</v>
      </c>
      <c r="AU45" s="143">
        <v>0</v>
      </c>
      <c r="AV45" s="143">
        <v>0</v>
      </c>
      <c r="AW45" s="143">
        <v>0</v>
      </c>
      <c r="AX45" s="143">
        <v>0</v>
      </c>
      <c r="AY45" s="143">
        <v>0</v>
      </c>
      <c r="AZ45" s="143">
        <v>0</v>
      </c>
      <c r="BA45" s="143">
        <v>0</v>
      </c>
      <c r="BC45" s="147"/>
      <c r="BD45" s="147" t="s">
        <v>63</v>
      </c>
      <c r="BE45" s="147">
        <f>AB44+AB79</f>
        <v>2</v>
      </c>
      <c r="BF45" s="134">
        <f>(BE45/$BE$44)*100</f>
        <v>100</v>
      </c>
      <c r="BG45" s="147">
        <f t="shared" si="42"/>
        <v>2</v>
      </c>
      <c r="BH45" s="134">
        <v>0</v>
      </c>
      <c r="BI45" s="147">
        <f t="shared" si="43"/>
        <v>17</v>
      </c>
      <c r="BJ45" s="134">
        <f>(BI45/$BI$44)*100</f>
        <v>54.838709677419352</v>
      </c>
      <c r="BK45" s="147">
        <f t="shared" si="44"/>
        <v>0</v>
      </c>
      <c r="BL45" s="134">
        <v>0</v>
      </c>
      <c r="BM45" s="147">
        <f t="shared" si="45"/>
        <v>10</v>
      </c>
      <c r="BN45" s="134">
        <f>(BM45/$BM$44)*100</f>
        <v>15.151515151515152</v>
      </c>
      <c r="BO45" s="147">
        <f t="shared" si="46"/>
        <v>54</v>
      </c>
      <c r="BP45" s="134">
        <f>(BO45/$BO$44)*100</f>
        <v>48.214285714285715</v>
      </c>
      <c r="BQ45" s="147">
        <f t="shared" si="47"/>
        <v>66</v>
      </c>
      <c r="BR45" s="134">
        <f>(BQ45/$BQ$44)*100</f>
        <v>71.739130434782609</v>
      </c>
      <c r="BS45" s="147">
        <f t="shared" si="48"/>
        <v>61</v>
      </c>
      <c r="BT45" s="134">
        <f>(BS45/$BS$44)*100</f>
        <v>70.114942528735639</v>
      </c>
      <c r="BU45" s="147">
        <f t="shared" si="49"/>
        <v>54</v>
      </c>
      <c r="BV45" s="134">
        <f>(BU45/$BU$44)*100</f>
        <v>39.705882352941174</v>
      </c>
      <c r="BW45" s="147">
        <f t="shared" si="50"/>
        <v>12</v>
      </c>
      <c r="BX45" s="134">
        <f>(BW45/$BW$44)*100</f>
        <v>20.33898305084746</v>
      </c>
      <c r="BY45" s="147">
        <f t="shared" si="51"/>
        <v>14</v>
      </c>
      <c r="BZ45" s="134">
        <f>(BY45/$BY$44)*100</f>
        <v>42.424242424242422</v>
      </c>
      <c r="CA45" s="147">
        <f t="shared" si="52"/>
        <v>2</v>
      </c>
      <c r="CB45" s="134">
        <f>(CA45/$CA$44)*100</f>
        <v>40</v>
      </c>
      <c r="CC45" s="147">
        <f t="shared" si="53"/>
        <v>296</v>
      </c>
      <c r="CD45" s="134">
        <f>(CC45/$CC$44)*100</f>
        <v>47.133757961783438</v>
      </c>
      <c r="CE45" s="147"/>
      <c r="CF45" s="147"/>
      <c r="CG45" s="147">
        <v>1</v>
      </c>
      <c r="CH45" s="147">
        <v>2</v>
      </c>
      <c r="CI45" s="147">
        <v>3</v>
      </c>
      <c r="CJ45" s="147">
        <v>4</v>
      </c>
      <c r="CK45" s="147">
        <v>5</v>
      </c>
      <c r="CL45" s="147">
        <v>6</v>
      </c>
      <c r="CM45" s="147">
        <v>7</v>
      </c>
      <c r="CN45" s="147">
        <v>8</v>
      </c>
      <c r="CO45" s="147">
        <v>9</v>
      </c>
      <c r="CP45" s="147">
        <v>10</v>
      </c>
      <c r="CQ45" s="147">
        <v>11</v>
      </c>
      <c r="CR45" s="147">
        <v>12</v>
      </c>
      <c r="CS45" s="147"/>
      <c r="CT45" s="195"/>
      <c r="CU45" s="195">
        <v>1</v>
      </c>
      <c r="CV45" s="195">
        <v>2</v>
      </c>
      <c r="CW45" s="195">
        <v>3</v>
      </c>
      <c r="CX45" s="195">
        <v>4</v>
      </c>
      <c r="CY45" s="195">
        <v>5</v>
      </c>
      <c r="CZ45" s="195">
        <v>6</v>
      </c>
      <c r="DA45" s="195">
        <v>7</v>
      </c>
      <c r="DB45" s="195">
        <v>8</v>
      </c>
      <c r="DC45" s="195">
        <v>9</v>
      </c>
      <c r="DD45" s="195">
        <v>10</v>
      </c>
      <c r="DE45" s="195">
        <v>11</v>
      </c>
      <c r="DF45" s="195">
        <v>12</v>
      </c>
    </row>
    <row r="46" spans="1:111" x14ac:dyDescent="0.3">
      <c r="B46" s="239"/>
      <c r="C46" s="239"/>
      <c r="D46" s="239"/>
      <c r="E46" s="239"/>
      <c r="F46" s="239"/>
      <c r="G46" s="239"/>
      <c r="H46" s="239"/>
      <c r="I46" s="239"/>
      <c r="J46" s="239"/>
      <c r="K46" s="239"/>
      <c r="L46" s="239"/>
      <c r="Z46" s="141"/>
      <c r="AA46" s="143">
        <v>15</v>
      </c>
      <c r="AB46" s="143">
        <v>0</v>
      </c>
      <c r="AC46" s="143">
        <v>0</v>
      </c>
      <c r="AD46" s="143">
        <v>0</v>
      </c>
      <c r="AE46" s="143">
        <v>0</v>
      </c>
      <c r="AF46" s="143">
        <v>10</v>
      </c>
      <c r="AG46" s="143">
        <v>48.1</v>
      </c>
      <c r="AH46" s="143">
        <v>0</v>
      </c>
      <c r="AI46" s="143">
        <v>0</v>
      </c>
      <c r="AJ46" s="143">
        <v>13</v>
      </c>
      <c r="AK46" s="143">
        <v>21.3</v>
      </c>
      <c r="AL46" s="143">
        <v>5</v>
      </c>
      <c r="AM46" s="143">
        <v>8.5</v>
      </c>
      <c r="AN46" s="143">
        <v>11</v>
      </c>
      <c r="AO46" s="143">
        <v>26.1</v>
      </c>
      <c r="AP46" s="143">
        <v>2</v>
      </c>
      <c r="AQ46" s="143">
        <v>100</v>
      </c>
      <c r="AR46" s="143">
        <v>19</v>
      </c>
      <c r="AS46" s="143">
        <v>17.399999999999999</v>
      </c>
      <c r="AT46" s="143">
        <v>9</v>
      </c>
      <c r="AU46" s="143">
        <v>20.6</v>
      </c>
      <c r="AV46" s="143">
        <v>9</v>
      </c>
      <c r="AW46" s="143">
        <v>32</v>
      </c>
      <c r="AX46" s="143">
        <v>3</v>
      </c>
      <c r="AY46" s="143">
        <v>68.400000000000006</v>
      </c>
      <c r="AZ46" s="143">
        <v>81</v>
      </c>
      <c r="BA46" s="143">
        <v>21.7</v>
      </c>
      <c r="BC46" s="147"/>
      <c r="BD46" s="147">
        <v>14</v>
      </c>
      <c r="BE46" s="147">
        <f t="shared" si="41"/>
        <v>0</v>
      </c>
      <c r="BF46" s="134">
        <f t="shared" ref="BF46:BF56" si="54">(BE46/$BE$44)*100</f>
        <v>0</v>
      </c>
      <c r="BG46" s="147">
        <f t="shared" si="42"/>
        <v>0</v>
      </c>
      <c r="BH46" s="134">
        <v>0</v>
      </c>
      <c r="BI46" s="147">
        <f t="shared" si="43"/>
        <v>0</v>
      </c>
      <c r="BJ46" s="134">
        <f t="shared" ref="BJ46:BJ57" si="55">(BI46/$BI$44)*100</f>
        <v>0</v>
      </c>
      <c r="BK46" s="147">
        <f t="shared" si="44"/>
        <v>0</v>
      </c>
      <c r="BL46" s="134">
        <v>0</v>
      </c>
      <c r="BM46" s="147">
        <f t="shared" si="45"/>
        <v>0</v>
      </c>
      <c r="BN46" s="134">
        <f t="shared" ref="BN46:BN57" si="56">(BM46/$BM$44)*100</f>
        <v>0</v>
      </c>
      <c r="BO46" s="147">
        <f t="shared" si="46"/>
        <v>0</v>
      </c>
      <c r="BP46" s="134">
        <f t="shared" ref="BP46:BP57" si="57">(BO46/$BO$44)*100</f>
        <v>0</v>
      </c>
      <c r="BQ46" s="147">
        <f t="shared" si="47"/>
        <v>0</v>
      </c>
      <c r="BR46" s="134">
        <f t="shared" ref="BR46:BR57" si="58">(BQ46/$BQ$44)*100</f>
        <v>0</v>
      </c>
      <c r="BS46" s="147">
        <f t="shared" si="48"/>
        <v>0</v>
      </c>
      <c r="BT46" s="134">
        <f t="shared" ref="BT46:BT57" si="59">(BS46/$BS$44)*100</f>
        <v>0</v>
      </c>
      <c r="BU46" s="147">
        <f t="shared" si="49"/>
        <v>0</v>
      </c>
      <c r="BV46" s="134">
        <f t="shared" ref="BV46:BV57" si="60">(BU46/$BU$44)*100</f>
        <v>0</v>
      </c>
      <c r="BW46" s="147">
        <f t="shared" si="50"/>
        <v>0</v>
      </c>
      <c r="BX46" s="134">
        <f>(BW46/$BW$44)*100</f>
        <v>0</v>
      </c>
      <c r="BY46" s="147">
        <f t="shared" si="51"/>
        <v>0</v>
      </c>
      <c r="BZ46" s="134">
        <f t="shared" ref="BZ46:BZ57" si="61">(BY46/$BY$44)*100</f>
        <v>0</v>
      </c>
      <c r="CA46" s="147">
        <f t="shared" si="52"/>
        <v>0</v>
      </c>
      <c r="CB46" s="134">
        <f>(CA46/$CA$44)*100</f>
        <v>0</v>
      </c>
      <c r="CC46" s="147">
        <f t="shared" si="53"/>
        <v>0</v>
      </c>
      <c r="CD46" s="134">
        <f t="shared" ref="CD46:CD57" si="62">(CC46/$CC$44)*100</f>
        <v>0</v>
      </c>
      <c r="CE46" s="147"/>
      <c r="CF46" s="147" t="s">
        <v>63</v>
      </c>
      <c r="CG46" s="198">
        <f>SL_pooling!C81</f>
        <v>60</v>
      </c>
      <c r="CH46" s="198">
        <f>SL_pooling!D81</f>
        <v>60</v>
      </c>
      <c r="CI46" s="198">
        <f>SL_pooling!E81</f>
        <v>60</v>
      </c>
      <c r="CJ46" s="198">
        <f>SL_pooling!F81</f>
        <v>27.835051546391753</v>
      </c>
      <c r="CK46" s="198">
        <f>SL_pooling!G81</f>
        <v>15.151515151515152</v>
      </c>
      <c r="CL46" s="198">
        <f>SL_pooling!H81</f>
        <v>48.214285714285715</v>
      </c>
      <c r="CM46" s="198">
        <f>SL_pooling!I81</f>
        <v>71.739130434782609</v>
      </c>
      <c r="CN46" s="198">
        <f>SL_pooling!J81</f>
        <v>70.114942528735639</v>
      </c>
      <c r="CO46" s="198">
        <f>SL_pooling!K81</f>
        <v>39.705882352941174</v>
      </c>
      <c r="CP46" s="198">
        <f>SL_pooling!L81</f>
        <v>28.865979381443296</v>
      </c>
      <c r="CQ46" s="198">
        <f>SL_pooling!M81</f>
        <v>28.865979381443296</v>
      </c>
      <c r="CR46" s="198">
        <f>SL_pooling!N81</f>
        <v>28.865979381443296</v>
      </c>
      <c r="CS46" s="199"/>
      <c r="CT46" s="195" t="s">
        <v>63</v>
      </c>
      <c r="CU46" s="220">
        <f t="shared" ref="CU46:CU53" si="63">CG46/100</f>
        <v>0.6</v>
      </c>
      <c r="CV46" s="220">
        <f t="shared" ref="CV46:DF53" si="64">CH46/100</f>
        <v>0.6</v>
      </c>
      <c r="CW46" s="220">
        <f t="shared" si="64"/>
        <v>0.6</v>
      </c>
      <c r="CX46" s="220">
        <f t="shared" si="64"/>
        <v>0.27835051546391754</v>
      </c>
      <c r="CY46" s="220">
        <f t="shared" si="64"/>
        <v>0.15151515151515152</v>
      </c>
      <c r="CZ46" s="220">
        <f t="shared" si="64"/>
        <v>0.48214285714285715</v>
      </c>
      <c r="DA46" s="220">
        <f t="shared" si="64"/>
        <v>0.71739130434782605</v>
      </c>
      <c r="DB46" s="220">
        <f t="shared" si="64"/>
        <v>0.70114942528735635</v>
      </c>
      <c r="DC46" s="220">
        <f t="shared" si="64"/>
        <v>0.39705882352941174</v>
      </c>
      <c r="DD46" s="220">
        <f t="shared" si="64"/>
        <v>0.28865979381443296</v>
      </c>
      <c r="DE46" s="220">
        <f t="shared" si="64"/>
        <v>0.28865979381443296</v>
      </c>
      <c r="DF46" s="220">
        <f t="shared" si="64"/>
        <v>0.28865979381443296</v>
      </c>
      <c r="DG46" s="199"/>
    </row>
    <row r="47" spans="1:111" x14ac:dyDescent="0.3">
      <c r="B47" s="239"/>
      <c r="C47" s="239"/>
      <c r="D47" s="239"/>
      <c r="E47" s="239"/>
      <c r="F47" s="239"/>
      <c r="G47" s="239"/>
      <c r="H47" s="239"/>
      <c r="I47" s="239"/>
      <c r="J47" s="239"/>
      <c r="K47" s="239"/>
      <c r="L47" s="239"/>
      <c r="Z47" s="141"/>
      <c r="AA47" s="143">
        <v>16</v>
      </c>
      <c r="AB47" s="143">
        <v>0</v>
      </c>
      <c r="AC47" s="143">
        <v>0</v>
      </c>
      <c r="AD47" s="143">
        <v>0</v>
      </c>
      <c r="AE47" s="143">
        <v>0</v>
      </c>
      <c r="AF47" s="143">
        <v>14</v>
      </c>
      <c r="AG47" s="143">
        <v>63</v>
      </c>
      <c r="AH47" s="143">
        <v>0</v>
      </c>
      <c r="AI47" s="143">
        <v>0</v>
      </c>
      <c r="AJ47" s="143">
        <v>32</v>
      </c>
      <c r="AK47" s="143">
        <v>53.6</v>
      </c>
      <c r="AL47" s="143">
        <v>14</v>
      </c>
      <c r="AM47" s="143">
        <v>22.7</v>
      </c>
      <c r="AN47" s="143">
        <v>13</v>
      </c>
      <c r="AO47" s="143">
        <v>32.6</v>
      </c>
      <c r="AP47" s="143">
        <v>2</v>
      </c>
      <c r="AQ47" s="143">
        <v>100</v>
      </c>
      <c r="AR47" s="143">
        <v>30</v>
      </c>
      <c r="AS47" s="143">
        <v>28.4</v>
      </c>
      <c r="AT47" s="143">
        <v>21</v>
      </c>
      <c r="AU47" s="143">
        <v>47.1</v>
      </c>
      <c r="AV47" s="143">
        <v>13</v>
      </c>
      <c r="AW47" s="143">
        <v>45</v>
      </c>
      <c r="AX47" s="143">
        <v>3</v>
      </c>
      <c r="AY47" s="143">
        <v>68.400000000000006</v>
      </c>
      <c r="AZ47" s="143">
        <v>143</v>
      </c>
      <c r="BA47" s="143">
        <v>38.200000000000003</v>
      </c>
      <c r="BC47" s="147"/>
      <c r="BD47" s="147">
        <v>15</v>
      </c>
      <c r="BE47" s="147">
        <f t="shared" si="41"/>
        <v>0</v>
      </c>
      <c r="BF47" s="134">
        <f t="shared" si="54"/>
        <v>0</v>
      </c>
      <c r="BG47" s="147">
        <f t="shared" si="42"/>
        <v>0</v>
      </c>
      <c r="BH47" s="134">
        <v>0</v>
      </c>
      <c r="BI47" s="147">
        <f t="shared" si="43"/>
        <v>10</v>
      </c>
      <c r="BJ47" s="134">
        <f t="shared" si="55"/>
        <v>32.258064516129032</v>
      </c>
      <c r="BK47" s="147">
        <f t="shared" si="44"/>
        <v>0</v>
      </c>
      <c r="BL47" s="134">
        <v>0</v>
      </c>
      <c r="BM47" s="147">
        <f t="shared" si="45"/>
        <v>15</v>
      </c>
      <c r="BN47" s="134">
        <f t="shared" si="56"/>
        <v>22.727272727272727</v>
      </c>
      <c r="BO47" s="147">
        <f t="shared" si="46"/>
        <v>8</v>
      </c>
      <c r="BP47" s="134">
        <f t="shared" si="57"/>
        <v>7.1428571428571423</v>
      </c>
      <c r="BQ47" s="147">
        <f t="shared" si="47"/>
        <v>13</v>
      </c>
      <c r="BR47" s="134">
        <f t="shared" si="58"/>
        <v>14.130434782608695</v>
      </c>
      <c r="BS47" s="147">
        <f t="shared" si="48"/>
        <v>16</v>
      </c>
      <c r="BT47" s="134">
        <f t="shared" si="59"/>
        <v>18.390804597701148</v>
      </c>
      <c r="BU47" s="147">
        <f t="shared" si="49"/>
        <v>22</v>
      </c>
      <c r="BV47" s="134">
        <f t="shared" si="60"/>
        <v>16.176470588235293</v>
      </c>
      <c r="BW47" s="147">
        <f t="shared" si="50"/>
        <v>11</v>
      </c>
      <c r="BX47" s="134">
        <f t="shared" ref="BX47:BX57" si="65">(BW47/$BW$44)*100</f>
        <v>18.64406779661017</v>
      </c>
      <c r="BY47" s="147">
        <f t="shared" si="51"/>
        <v>9</v>
      </c>
      <c r="BZ47" s="134">
        <f t="shared" si="61"/>
        <v>27.27272727272727</v>
      </c>
      <c r="CA47" s="147">
        <f t="shared" si="52"/>
        <v>3</v>
      </c>
      <c r="CB47" s="134">
        <f t="shared" ref="CB47:CB57" si="66">(CA47/$CA$44)*100</f>
        <v>60</v>
      </c>
      <c r="CC47" s="147">
        <f t="shared" si="53"/>
        <v>108</v>
      </c>
      <c r="CD47" s="134">
        <f t="shared" si="62"/>
        <v>17.197452229299362</v>
      </c>
      <c r="CE47" s="147"/>
      <c r="CF47" s="147">
        <v>14</v>
      </c>
      <c r="CG47" s="198">
        <f>SL_pooling!C82</f>
        <v>0</v>
      </c>
      <c r="CH47" s="198">
        <f>SL_pooling!D82</f>
        <v>0</v>
      </c>
      <c r="CI47" s="198">
        <f>SL_pooling!E82</f>
        <v>0</v>
      </c>
      <c r="CJ47" s="198">
        <f>SL_pooling!F82</f>
        <v>0</v>
      </c>
      <c r="CK47" s="198">
        <f>SL_pooling!G82</f>
        <v>0</v>
      </c>
      <c r="CL47" s="198">
        <f>SL_pooling!H82</f>
        <v>0</v>
      </c>
      <c r="CM47" s="198">
        <f>SL_pooling!I82</f>
        <v>0</v>
      </c>
      <c r="CN47" s="198">
        <f>SL_pooling!J82</f>
        <v>0</v>
      </c>
      <c r="CO47" s="198">
        <f>SL_pooling!K82</f>
        <v>0</v>
      </c>
      <c r="CP47" s="198">
        <f>SL_pooling!L82</f>
        <v>0</v>
      </c>
      <c r="CQ47" s="198">
        <f>SL_pooling!M82</f>
        <v>0</v>
      </c>
      <c r="CR47" s="198">
        <f>SL_pooling!N82</f>
        <v>0</v>
      </c>
      <c r="CS47" s="199"/>
      <c r="CT47" s="195">
        <v>14</v>
      </c>
      <c r="CU47" s="220">
        <f t="shared" si="63"/>
        <v>0</v>
      </c>
      <c r="CV47" s="220">
        <f t="shared" si="64"/>
        <v>0</v>
      </c>
      <c r="CW47" s="220">
        <f t="shared" si="64"/>
        <v>0</v>
      </c>
      <c r="CX47" s="220">
        <f t="shared" si="64"/>
        <v>0</v>
      </c>
      <c r="CY47" s="220">
        <f t="shared" si="64"/>
        <v>0</v>
      </c>
      <c r="CZ47" s="220">
        <f t="shared" si="64"/>
        <v>0</v>
      </c>
      <c r="DA47" s="220">
        <f t="shared" si="64"/>
        <v>0</v>
      </c>
      <c r="DB47" s="220">
        <f t="shared" si="64"/>
        <v>0</v>
      </c>
      <c r="DC47" s="220">
        <f t="shared" si="64"/>
        <v>0</v>
      </c>
      <c r="DD47" s="220">
        <f t="shared" si="64"/>
        <v>0</v>
      </c>
      <c r="DE47" s="220">
        <f t="shared" si="64"/>
        <v>0</v>
      </c>
      <c r="DF47" s="220">
        <f t="shared" si="64"/>
        <v>0</v>
      </c>
      <c r="DG47" s="199"/>
    </row>
    <row r="48" spans="1:111" x14ac:dyDescent="0.3">
      <c r="B48" s="239"/>
      <c r="C48" s="239"/>
      <c r="D48" s="239"/>
      <c r="E48" s="239"/>
      <c r="F48" s="239"/>
      <c r="G48" s="239"/>
      <c r="H48" s="239"/>
      <c r="I48" s="239"/>
      <c r="J48" s="239"/>
      <c r="K48" s="239"/>
      <c r="L48" s="239"/>
      <c r="Z48" s="141"/>
      <c r="AA48" s="143">
        <v>17</v>
      </c>
      <c r="AB48" s="143">
        <v>0</v>
      </c>
      <c r="AC48" s="143">
        <v>0</v>
      </c>
      <c r="AD48" s="143">
        <v>0</v>
      </c>
      <c r="AE48" s="143">
        <v>0</v>
      </c>
      <c r="AF48" s="143">
        <v>14</v>
      </c>
      <c r="AG48" s="143">
        <v>63</v>
      </c>
      <c r="AH48" s="143">
        <v>0</v>
      </c>
      <c r="AI48" s="143">
        <v>0</v>
      </c>
      <c r="AJ48" s="143">
        <v>45</v>
      </c>
      <c r="AK48" s="143">
        <v>74.2</v>
      </c>
      <c r="AL48" s="143">
        <v>17</v>
      </c>
      <c r="AM48" s="143">
        <v>28.5</v>
      </c>
      <c r="AN48" s="143">
        <v>13</v>
      </c>
      <c r="AO48" s="143">
        <v>32.6</v>
      </c>
      <c r="AP48" s="143">
        <v>2</v>
      </c>
      <c r="AQ48" s="143">
        <v>100</v>
      </c>
      <c r="AR48" s="143">
        <v>48</v>
      </c>
      <c r="AS48" s="143">
        <v>45.2</v>
      </c>
      <c r="AT48" s="143">
        <v>25</v>
      </c>
      <c r="AU48" s="143">
        <v>54.8</v>
      </c>
      <c r="AV48" s="143">
        <v>13</v>
      </c>
      <c r="AW48" s="143">
        <v>45</v>
      </c>
      <c r="AX48" s="143">
        <v>3</v>
      </c>
      <c r="AY48" s="143">
        <v>68.400000000000006</v>
      </c>
      <c r="AZ48" s="143">
        <v>180</v>
      </c>
      <c r="BA48" s="143">
        <v>48.3</v>
      </c>
      <c r="BC48" s="147"/>
      <c r="BD48" s="147">
        <v>16</v>
      </c>
      <c r="BE48" s="147">
        <f t="shared" si="41"/>
        <v>0</v>
      </c>
      <c r="BF48" s="134">
        <f t="shared" si="54"/>
        <v>0</v>
      </c>
      <c r="BG48" s="147">
        <f t="shared" si="42"/>
        <v>0</v>
      </c>
      <c r="BH48" s="134">
        <v>0</v>
      </c>
      <c r="BI48" s="147">
        <f t="shared" si="43"/>
        <v>14</v>
      </c>
      <c r="BJ48" s="134">
        <f t="shared" si="55"/>
        <v>45.161290322580641</v>
      </c>
      <c r="BK48" s="147">
        <f t="shared" si="44"/>
        <v>0</v>
      </c>
      <c r="BL48" s="134">
        <v>0</v>
      </c>
      <c r="BM48" s="147">
        <f t="shared" si="45"/>
        <v>34</v>
      </c>
      <c r="BN48" s="134">
        <f t="shared" si="56"/>
        <v>51.515151515151516</v>
      </c>
      <c r="BO48" s="147">
        <f t="shared" si="46"/>
        <v>20</v>
      </c>
      <c r="BP48" s="134">
        <f t="shared" si="57"/>
        <v>17.857142857142858</v>
      </c>
      <c r="BQ48" s="147">
        <f t="shared" si="47"/>
        <v>15</v>
      </c>
      <c r="BR48" s="134">
        <f t="shared" si="58"/>
        <v>16.304347826086957</v>
      </c>
      <c r="BS48" s="147">
        <f t="shared" si="48"/>
        <v>23</v>
      </c>
      <c r="BT48" s="134">
        <f t="shared" si="59"/>
        <v>26.436781609195403</v>
      </c>
      <c r="BU48" s="147">
        <f t="shared" si="49"/>
        <v>39</v>
      </c>
      <c r="BV48" s="134">
        <f t="shared" si="60"/>
        <v>28.676470588235293</v>
      </c>
      <c r="BW48" s="147">
        <f t="shared" si="50"/>
        <v>23</v>
      </c>
      <c r="BX48" s="134">
        <f t="shared" si="65"/>
        <v>38.983050847457626</v>
      </c>
      <c r="BY48" s="147">
        <f t="shared" si="51"/>
        <v>13</v>
      </c>
      <c r="BZ48" s="134">
        <f t="shared" si="61"/>
        <v>39.393939393939391</v>
      </c>
      <c r="CA48" s="147">
        <f t="shared" si="52"/>
        <v>3</v>
      </c>
      <c r="CB48" s="134">
        <f t="shared" si="66"/>
        <v>60</v>
      </c>
      <c r="CC48" s="147">
        <f t="shared" si="53"/>
        <v>185</v>
      </c>
      <c r="CD48" s="134">
        <f t="shared" si="62"/>
        <v>29.458598726114648</v>
      </c>
      <c r="CE48" s="147"/>
      <c r="CF48" s="147">
        <v>15</v>
      </c>
      <c r="CG48" s="198">
        <f>SL_pooling!C83</f>
        <v>28.571428571428569</v>
      </c>
      <c r="CH48" s="198">
        <f>SL_pooling!D83</f>
        <v>28.571428571428569</v>
      </c>
      <c r="CI48" s="198">
        <f>SL_pooling!E83</f>
        <v>28.571428571428569</v>
      </c>
      <c r="CJ48" s="198">
        <f>SL_pooling!F83</f>
        <v>25.773195876288657</v>
      </c>
      <c r="CK48" s="198">
        <f>SL_pooling!G83</f>
        <v>22.727272727272727</v>
      </c>
      <c r="CL48" s="198">
        <f>SL_pooling!H83</f>
        <v>7.1428571428571423</v>
      </c>
      <c r="CM48" s="198">
        <f>SL_pooling!I83</f>
        <v>14.130434782608695</v>
      </c>
      <c r="CN48" s="198">
        <f>SL_pooling!J83</f>
        <v>18.390804597701148</v>
      </c>
      <c r="CO48" s="198">
        <f>SL_pooling!K83</f>
        <v>16.176470588235293</v>
      </c>
      <c r="CP48" s="198">
        <f>SL_pooling!L83</f>
        <v>23.711340206185564</v>
      </c>
      <c r="CQ48" s="198">
        <f>SL_pooling!M83</f>
        <v>23.711340206185564</v>
      </c>
      <c r="CR48" s="198">
        <f>SL_pooling!N83</f>
        <v>23.711340206185564</v>
      </c>
      <c r="CS48" s="199"/>
      <c r="CT48" s="195">
        <v>15</v>
      </c>
      <c r="CU48" s="220">
        <f t="shared" si="63"/>
        <v>0.2857142857142857</v>
      </c>
      <c r="CV48" s="220">
        <f t="shared" si="64"/>
        <v>0.2857142857142857</v>
      </c>
      <c r="CW48" s="220">
        <f t="shared" si="64"/>
        <v>0.2857142857142857</v>
      </c>
      <c r="CX48" s="220">
        <f t="shared" si="64"/>
        <v>0.25773195876288657</v>
      </c>
      <c r="CY48" s="220">
        <f t="shared" si="64"/>
        <v>0.22727272727272727</v>
      </c>
      <c r="CZ48" s="220">
        <f t="shared" si="64"/>
        <v>7.1428571428571425E-2</v>
      </c>
      <c r="DA48" s="220">
        <f t="shared" si="64"/>
        <v>0.14130434782608695</v>
      </c>
      <c r="DB48" s="220">
        <f t="shared" si="64"/>
        <v>0.18390804597701149</v>
      </c>
      <c r="DC48" s="220">
        <f t="shared" si="64"/>
        <v>0.16176470588235292</v>
      </c>
      <c r="DD48" s="220">
        <f t="shared" si="64"/>
        <v>0.23711340206185563</v>
      </c>
      <c r="DE48" s="220">
        <f t="shared" si="64"/>
        <v>0.23711340206185563</v>
      </c>
      <c r="DF48" s="220">
        <f t="shared" si="64"/>
        <v>0.23711340206185563</v>
      </c>
      <c r="DG48" s="199"/>
    </row>
    <row r="49" spans="1:111" x14ac:dyDescent="0.3">
      <c r="B49" s="239"/>
      <c r="C49" s="239"/>
      <c r="D49" s="239"/>
      <c r="E49" s="239"/>
      <c r="F49" s="239"/>
      <c r="G49" s="239"/>
      <c r="H49" s="239"/>
      <c r="I49" s="239"/>
      <c r="J49" s="239"/>
      <c r="K49" s="239"/>
      <c r="L49" s="239"/>
      <c r="Z49" s="141"/>
      <c r="AA49" s="143">
        <v>18</v>
      </c>
      <c r="AB49" s="143">
        <v>0</v>
      </c>
      <c r="AC49" s="143">
        <v>0</v>
      </c>
      <c r="AD49" s="143">
        <v>0</v>
      </c>
      <c r="AE49" s="143">
        <v>0</v>
      </c>
      <c r="AF49" s="143">
        <v>14</v>
      </c>
      <c r="AG49" s="143">
        <v>63</v>
      </c>
      <c r="AH49" s="143">
        <v>0</v>
      </c>
      <c r="AI49" s="143">
        <v>0</v>
      </c>
      <c r="AJ49" s="143">
        <v>54</v>
      </c>
      <c r="AK49" s="143">
        <v>89.7</v>
      </c>
      <c r="AL49" s="143">
        <v>31</v>
      </c>
      <c r="AM49" s="143">
        <v>51</v>
      </c>
      <c r="AN49" s="143">
        <v>18</v>
      </c>
      <c r="AO49" s="143">
        <v>43.7</v>
      </c>
      <c r="AP49" s="143">
        <v>2</v>
      </c>
      <c r="AQ49" s="143">
        <v>100</v>
      </c>
      <c r="AR49" s="143">
        <v>53</v>
      </c>
      <c r="AS49" s="143">
        <v>49.1</v>
      </c>
      <c r="AT49" s="143">
        <v>38</v>
      </c>
      <c r="AU49" s="143">
        <v>84</v>
      </c>
      <c r="AV49" s="143">
        <v>13</v>
      </c>
      <c r="AW49" s="143">
        <v>45</v>
      </c>
      <c r="AX49" s="143">
        <v>3</v>
      </c>
      <c r="AY49" s="143">
        <v>68.400000000000006</v>
      </c>
      <c r="AZ49" s="143">
        <v>225</v>
      </c>
      <c r="BA49" s="143">
        <v>60.3</v>
      </c>
      <c r="BC49" s="147"/>
      <c r="BD49" s="147">
        <v>17</v>
      </c>
      <c r="BE49" s="147">
        <f t="shared" si="41"/>
        <v>0</v>
      </c>
      <c r="BF49" s="134">
        <f t="shared" si="54"/>
        <v>0</v>
      </c>
      <c r="BG49" s="147">
        <f t="shared" si="42"/>
        <v>0</v>
      </c>
      <c r="BH49" s="134">
        <v>0</v>
      </c>
      <c r="BI49" s="147">
        <f t="shared" si="43"/>
        <v>14</v>
      </c>
      <c r="BJ49" s="134">
        <f t="shared" si="55"/>
        <v>45.161290322580641</v>
      </c>
      <c r="BK49" s="147">
        <f t="shared" si="44"/>
        <v>0</v>
      </c>
      <c r="BL49" s="134">
        <v>0</v>
      </c>
      <c r="BM49" s="147">
        <f t="shared" si="45"/>
        <v>47</v>
      </c>
      <c r="BN49" s="134">
        <f t="shared" si="56"/>
        <v>71.212121212121218</v>
      </c>
      <c r="BO49" s="147">
        <f t="shared" si="46"/>
        <v>30</v>
      </c>
      <c r="BP49" s="134">
        <f t="shared" si="57"/>
        <v>26.785714285714285</v>
      </c>
      <c r="BQ49" s="147">
        <f t="shared" si="47"/>
        <v>15</v>
      </c>
      <c r="BR49" s="134">
        <f t="shared" si="58"/>
        <v>16.304347826086957</v>
      </c>
      <c r="BS49" s="147">
        <f t="shared" si="48"/>
        <v>26</v>
      </c>
      <c r="BT49" s="134">
        <f t="shared" si="59"/>
        <v>29.885057471264371</v>
      </c>
      <c r="BU49" s="147">
        <f t="shared" si="49"/>
        <v>64</v>
      </c>
      <c r="BV49" s="134">
        <f t="shared" si="60"/>
        <v>47.058823529411761</v>
      </c>
      <c r="BW49" s="147">
        <f t="shared" si="50"/>
        <v>27</v>
      </c>
      <c r="BX49" s="134">
        <f t="shared" si="65"/>
        <v>45.762711864406782</v>
      </c>
      <c r="BY49" s="147">
        <f t="shared" si="51"/>
        <v>13</v>
      </c>
      <c r="BZ49" s="134">
        <f t="shared" si="61"/>
        <v>39.393939393939391</v>
      </c>
      <c r="CA49" s="147">
        <f t="shared" si="52"/>
        <v>3</v>
      </c>
      <c r="CB49" s="134">
        <f t="shared" si="66"/>
        <v>60</v>
      </c>
      <c r="CC49" s="147">
        <f t="shared" si="53"/>
        <v>241</v>
      </c>
      <c r="CD49" s="134">
        <f t="shared" si="62"/>
        <v>38.375796178343954</v>
      </c>
      <c r="CE49" s="147"/>
      <c r="CF49" s="147">
        <v>16</v>
      </c>
      <c r="CG49" s="198">
        <f>SL_pooling!C84</f>
        <v>40</v>
      </c>
      <c r="CH49" s="198">
        <f>SL_pooling!D84</f>
        <v>40</v>
      </c>
      <c r="CI49" s="198">
        <f>SL_pooling!E84</f>
        <v>40</v>
      </c>
      <c r="CJ49" s="198">
        <f>SL_pooling!F84</f>
        <v>49.484536082474229</v>
      </c>
      <c r="CK49" s="198">
        <f>SL_pooling!G84</f>
        <v>51.515151515151516</v>
      </c>
      <c r="CL49" s="198">
        <f>SL_pooling!H84</f>
        <v>17.857142857142858</v>
      </c>
      <c r="CM49" s="198">
        <f>SL_pooling!I84</f>
        <v>16.304347826086957</v>
      </c>
      <c r="CN49" s="198">
        <f>SL_pooling!J84</f>
        <v>26.436781609195403</v>
      </c>
      <c r="CO49" s="198">
        <f>SL_pooling!K84</f>
        <v>28.676470588235293</v>
      </c>
      <c r="CP49" s="198">
        <f>SL_pooling!L84</f>
        <v>40.206185567010309</v>
      </c>
      <c r="CQ49" s="198">
        <f>SL_pooling!M84</f>
        <v>40.206185567010309</v>
      </c>
      <c r="CR49" s="198">
        <f>SL_pooling!N84</f>
        <v>40.206185567010309</v>
      </c>
      <c r="CS49" s="199"/>
      <c r="CT49" s="195">
        <v>16</v>
      </c>
      <c r="CU49" s="220">
        <f t="shared" si="63"/>
        <v>0.4</v>
      </c>
      <c r="CV49" s="220">
        <f t="shared" si="64"/>
        <v>0.4</v>
      </c>
      <c r="CW49" s="220">
        <f t="shared" si="64"/>
        <v>0.4</v>
      </c>
      <c r="CX49" s="220">
        <f t="shared" si="64"/>
        <v>0.49484536082474229</v>
      </c>
      <c r="CY49" s="220">
        <f t="shared" si="64"/>
        <v>0.51515151515151514</v>
      </c>
      <c r="CZ49" s="220">
        <f t="shared" si="64"/>
        <v>0.17857142857142858</v>
      </c>
      <c r="DA49" s="220">
        <f t="shared" si="64"/>
        <v>0.16304347826086957</v>
      </c>
      <c r="DB49" s="220">
        <f t="shared" si="64"/>
        <v>0.26436781609195403</v>
      </c>
      <c r="DC49" s="220">
        <f t="shared" si="64"/>
        <v>0.28676470588235292</v>
      </c>
      <c r="DD49" s="220">
        <f t="shared" si="64"/>
        <v>0.40206185567010311</v>
      </c>
      <c r="DE49" s="220">
        <f t="shared" si="64"/>
        <v>0.40206185567010311</v>
      </c>
      <c r="DF49" s="220">
        <f t="shared" si="64"/>
        <v>0.40206185567010311</v>
      </c>
      <c r="DG49" s="199"/>
    </row>
    <row r="50" spans="1:111" x14ac:dyDescent="0.3">
      <c r="B50" s="239"/>
      <c r="C50" s="239"/>
      <c r="D50" s="239"/>
      <c r="E50" s="239"/>
      <c r="F50" s="239"/>
      <c r="G50" s="239"/>
      <c r="H50" s="239"/>
      <c r="I50" s="239"/>
      <c r="J50" s="239"/>
      <c r="K50" s="239"/>
      <c r="L50" s="239"/>
      <c r="Z50" s="141"/>
      <c r="AA50" s="143">
        <v>19</v>
      </c>
      <c r="AB50" s="143">
        <v>0</v>
      </c>
      <c r="AC50" s="143">
        <v>0</v>
      </c>
      <c r="AD50" s="143">
        <v>0</v>
      </c>
      <c r="AE50" s="143">
        <v>0</v>
      </c>
      <c r="AF50" s="143">
        <v>14</v>
      </c>
      <c r="AG50" s="143">
        <v>63</v>
      </c>
      <c r="AH50" s="143">
        <v>0</v>
      </c>
      <c r="AI50" s="143">
        <v>0</v>
      </c>
      <c r="AJ50" s="143">
        <v>54</v>
      </c>
      <c r="AK50" s="143">
        <v>89.7</v>
      </c>
      <c r="AL50" s="143">
        <v>45</v>
      </c>
      <c r="AM50" s="143">
        <v>74.3</v>
      </c>
      <c r="AN50" s="143">
        <v>23</v>
      </c>
      <c r="AO50" s="143">
        <v>56.6</v>
      </c>
      <c r="AP50" s="143">
        <v>2</v>
      </c>
      <c r="AQ50" s="143">
        <v>100</v>
      </c>
      <c r="AR50" s="143">
        <v>53</v>
      </c>
      <c r="AS50" s="143">
        <v>49.1</v>
      </c>
      <c r="AT50" s="143">
        <v>38</v>
      </c>
      <c r="AU50" s="143">
        <v>84</v>
      </c>
      <c r="AV50" s="143">
        <v>13</v>
      </c>
      <c r="AW50" s="143">
        <v>45</v>
      </c>
      <c r="AX50" s="143">
        <v>3</v>
      </c>
      <c r="AY50" s="143">
        <v>68.400000000000006</v>
      </c>
      <c r="AZ50" s="143">
        <v>244</v>
      </c>
      <c r="BA50" s="143">
        <v>65.5</v>
      </c>
      <c r="BC50" s="147"/>
      <c r="BD50" s="147">
        <v>18</v>
      </c>
      <c r="BE50" s="147">
        <f t="shared" si="41"/>
        <v>0</v>
      </c>
      <c r="BF50" s="134">
        <f t="shared" si="54"/>
        <v>0</v>
      </c>
      <c r="BG50" s="147">
        <f t="shared" si="42"/>
        <v>0</v>
      </c>
      <c r="BH50" s="134">
        <v>0</v>
      </c>
      <c r="BI50" s="147">
        <f t="shared" si="43"/>
        <v>14</v>
      </c>
      <c r="BJ50" s="134">
        <f t="shared" si="55"/>
        <v>45.161290322580641</v>
      </c>
      <c r="BK50" s="147">
        <f t="shared" si="44"/>
        <v>0</v>
      </c>
      <c r="BL50" s="134">
        <v>0</v>
      </c>
      <c r="BM50" s="147">
        <f t="shared" si="45"/>
        <v>56</v>
      </c>
      <c r="BN50" s="134">
        <f t="shared" si="56"/>
        <v>84.848484848484844</v>
      </c>
      <c r="BO50" s="147">
        <f t="shared" si="46"/>
        <v>44</v>
      </c>
      <c r="BP50" s="134">
        <f t="shared" si="57"/>
        <v>39.285714285714285</v>
      </c>
      <c r="BQ50" s="147">
        <f t="shared" si="47"/>
        <v>20</v>
      </c>
      <c r="BR50" s="134">
        <f t="shared" si="58"/>
        <v>21.739130434782609</v>
      </c>
      <c r="BS50" s="147">
        <f t="shared" si="48"/>
        <v>26</v>
      </c>
      <c r="BT50" s="134">
        <f t="shared" si="59"/>
        <v>29.885057471264371</v>
      </c>
      <c r="BU50" s="147">
        <f t="shared" si="49"/>
        <v>69</v>
      </c>
      <c r="BV50" s="134">
        <f t="shared" si="60"/>
        <v>50.735294117647058</v>
      </c>
      <c r="BW50" s="147">
        <f t="shared" si="50"/>
        <v>40</v>
      </c>
      <c r="BX50" s="134">
        <f t="shared" si="65"/>
        <v>67.796610169491515</v>
      </c>
      <c r="BY50" s="147">
        <f t="shared" si="51"/>
        <v>13</v>
      </c>
      <c r="BZ50" s="134">
        <f t="shared" si="61"/>
        <v>39.393939393939391</v>
      </c>
      <c r="CA50" s="147">
        <f t="shared" si="52"/>
        <v>3</v>
      </c>
      <c r="CB50" s="134">
        <f t="shared" si="66"/>
        <v>60</v>
      </c>
      <c r="CC50" s="147">
        <f t="shared" si="53"/>
        <v>286</v>
      </c>
      <c r="CD50" s="134">
        <f t="shared" si="62"/>
        <v>45.541401273885349</v>
      </c>
      <c r="CE50" s="147"/>
      <c r="CF50" s="147">
        <v>17</v>
      </c>
      <c r="CG50" s="198">
        <f>SL_pooling!C85</f>
        <v>40</v>
      </c>
      <c r="CH50" s="198">
        <f>SL_pooling!D85</f>
        <v>40</v>
      </c>
      <c r="CI50" s="198">
        <f>SL_pooling!E85</f>
        <v>40</v>
      </c>
      <c r="CJ50" s="198">
        <f>SL_pooling!F85</f>
        <v>62.886597938144327</v>
      </c>
      <c r="CK50" s="198">
        <f>SL_pooling!G85</f>
        <v>71.212121212121218</v>
      </c>
      <c r="CL50" s="198">
        <f>SL_pooling!H85</f>
        <v>26.785714285714285</v>
      </c>
      <c r="CM50" s="198">
        <f>SL_pooling!I85</f>
        <v>16.304347826086957</v>
      </c>
      <c r="CN50" s="198">
        <f>SL_pooling!J85</f>
        <v>29.885057471264371</v>
      </c>
      <c r="CO50" s="198">
        <f>SL_pooling!K85</f>
        <v>47.058823529411761</v>
      </c>
      <c r="CP50" s="198">
        <f>SL_pooling!L85</f>
        <v>44.329896907216494</v>
      </c>
      <c r="CQ50" s="198">
        <f>SL_pooling!M85</f>
        <v>44.329896907216494</v>
      </c>
      <c r="CR50" s="198">
        <f>SL_pooling!N85</f>
        <v>44.329896907216494</v>
      </c>
      <c r="CS50" s="199"/>
      <c r="CT50" s="195">
        <v>17</v>
      </c>
      <c r="CU50" s="220">
        <f t="shared" si="63"/>
        <v>0.4</v>
      </c>
      <c r="CV50" s="220">
        <f t="shared" si="64"/>
        <v>0.4</v>
      </c>
      <c r="CW50" s="220">
        <f t="shared" si="64"/>
        <v>0.4</v>
      </c>
      <c r="CX50" s="220">
        <f t="shared" si="64"/>
        <v>0.62886597938144329</v>
      </c>
      <c r="CY50" s="220">
        <f t="shared" si="64"/>
        <v>0.71212121212121215</v>
      </c>
      <c r="CZ50" s="220">
        <f t="shared" si="64"/>
        <v>0.26785714285714285</v>
      </c>
      <c r="DA50" s="220">
        <f t="shared" si="64"/>
        <v>0.16304347826086957</v>
      </c>
      <c r="DB50" s="220">
        <f t="shared" si="64"/>
        <v>0.2988505747126437</v>
      </c>
      <c r="DC50" s="220">
        <f t="shared" si="64"/>
        <v>0.47058823529411759</v>
      </c>
      <c r="DD50" s="220">
        <f t="shared" si="64"/>
        <v>0.44329896907216493</v>
      </c>
      <c r="DE50" s="220">
        <f t="shared" si="64"/>
        <v>0.44329896907216493</v>
      </c>
      <c r="DF50" s="220">
        <f t="shared" si="64"/>
        <v>0.44329896907216493</v>
      </c>
      <c r="DG50" s="199"/>
    </row>
    <row r="51" spans="1:111" x14ac:dyDescent="0.3">
      <c r="B51" s="239"/>
      <c r="C51" s="239"/>
      <c r="D51" s="239"/>
      <c r="E51" s="239"/>
      <c r="F51" s="239"/>
      <c r="G51" s="239"/>
      <c r="H51" s="239"/>
      <c r="I51" s="239"/>
      <c r="J51" s="239"/>
      <c r="K51" s="239"/>
      <c r="L51" s="239"/>
      <c r="Z51" s="141"/>
      <c r="AA51" s="143">
        <v>20</v>
      </c>
      <c r="AB51" s="143">
        <v>0</v>
      </c>
      <c r="AC51" s="143">
        <v>0</v>
      </c>
      <c r="AD51" s="143">
        <v>0</v>
      </c>
      <c r="AE51" s="143">
        <v>0</v>
      </c>
      <c r="AF51" s="143">
        <v>14</v>
      </c>
      <c r="AG51" s="143">
        <v>63</v>
      </c>
      <c r="AH51" s="143">
        <v>0</v>
      </c>
      <c r="AI51" s="143">
        <v>0</v>
      </c>
      <c r="AJ51" s="143">
        <v>54</v>
      </c>
      <c r="AK51" s="143">
        <v>89.7</v>
      </c>
      <c r="AL51" s="143">
        <v>45</v>
      </c>
      <c r="AM51" s="143">
        <v>74.3</v>
      </c>
      <c r="AN51" s="143">
        <v>23</v>
      </c>
      <c r="AO51" s="143">
        <v>56.6</v>
      </c>
      <c r="AP51" s="143">
        <v>2</v>
      </c>
      <c r="AQ51" s="143">
        <v>100</v>
      </c>
      <c r="AR51" s="143">
        <v>53</v>
      </c>
      <c r="AS51" s="143">
        <v>49.1</v>
      </c>
      <c r="AT51" s="143">
        <v>38</v>
      </c>
      <c r="AU51" s="143">
        <v>84</v>
      </c>
      <c r="AV51" s="143">
        <v>18</v>
      </c>
      <c r="AW51" s="143">
        <v>64.099999999999994</v>
      </c>
      <c r="AX51" s="143">
        <v>3</v>
      </c>
      <c r="AY51" s="143">
        <v>68.400000000000006</v>
      </c>
      <c r="AZ51" s="143">
        <v>250</v>
      </c>
      <c r="BA51" s="143">
        <v>67</v>
      </c>
      <c r="BC51" s="147"/>
      <c r="BD51" s="147">
        <v>19</v>
      </c>
      <c r="BE51" s="147">
        <f t="shared" si="41"/>
        <v>0</v>
      </c>
      <c r="BF51" s="134">
        <f t="shared" si="54"/>
        <v>0</v>
      </c>
      <c r="BG51" s="147">
        <f t="shared" si="42"/>
        <v>0</v>
      </c>
      <c r="BH51" s="134">
        <v>0</v>
      </c>
      <c r="BI51" s="147">
        <f t="shared" si="43"/>
        <v>14</v>
      </c>
      <c r="BJ51" s="134">
        <f t="shared" si="55"/>
        <v>45.161290322580641</v>
      </c>
      <c r="BK51" s="147">
        <f t="shared" si="44"/>
        <v>0</v>
      </c>
      <c r="BL51" s="134">
        <v>0</v>
      </c>
      <c r="BM51" s="147">
        <f t="shared" si="45"/>
        <v>56</v>
      </c>
      <c r="BN51" s="134">
        <f t="shared" si="56"/>
        <v>84.848484848484844</v>
      </c>
      <c r="BO51" s="147">
        <f t="shared" si="46"/>
        <v>58</v>
      </c>
      <c r="BP51" s="134">
        <f t="shared" si="57"/>
        <v>51.785714285714292</v>
      </c>
      <c r="BQ51" s="147">
        <f t="shared" si="47"/>
        <v>25</v>
      </c>
      <c r="BR51" s="134">
        <f t="shared" si="58"/>
        <v>27.173913043478258</v>
      </c>
      <c r="BS51" s="147">
        <f t="shared" si="48"/>
        <v>26</v>
      </c>
      <c r="BT51" s="134">
        <f t="shared" si="59"/>
        <v>29.885057471264371</v>
      </c>
      <c r="BU51" s="147">
        <f t="shared" si="49"/>
        <v>69</v>
      </c>
      <c r="BV51" s="134">
        <f t="shared" si="60"/>
        <v>50.735294117647058</v>
      </c>
      <c r="BW51" s="147">
        <f t="shared" si="50"/>
        <v>40</v>
      </c>
      <c r="BX51" s="134">
        <f t="shared" si="65"/>
        <v>67.796610169491515</v>
      </c>
      <c r="BY51" s="147">
        <f t="shared" si="51"/>
        <v>13</v>
      </c>
      <c r="BZ51" s="134">
        <f t="shared" si="61"/>
        <v>39.393939393939391</v>
      </c>
      <c r="CA51" s="147">
        <f t="shared" si="52"/>
        <v>3</v>
      </c>
      <c r="CB51" s="134">
        <f t="shared" si="66"/>
        <v>60</v>
      </c>
      <c r="CC51" s="147">
        <f t="shared" si="53"/>
        <v>305</v>
      </c>
      <c r="CD51" s="134">
        <f t="shared" si="62"/>
        <v>48.566878980891723</v>
      </c>
      <c r="CE51" s="147"/>
      <c r="CF51" s="147">
        <v>18</v>
      </c>
      <c r="CG51" s="198">
        <f>SL_pooling!C86</f>
        <v>40</v>
      </c>
      <c r="CH51" s="198">
        <f>SL_pooling!D86</f>
        <v>40</v>
      </c>
      <c r="CI51" s="198">
        <f>SL_pooling!E86</f>
        <v>40</v>
      </c>
      <c r="CJ51" s="198">
        <f>SL_pooling!F86</f>
        <v>72.164948453608247</v>
      </c>
      <c r="CK51" s="198">
        <f>SL_pooling!G86</f>
        <v>84.848484848484844</v>
      </c>
      <c r="CL51" s="198">
        <f>SL_pooling!H86</f>
        <v>39.285714285714285</v>
      </c>
      <c r="CM51" s="198">
        <f>SL_pooling!I86</f>
        <v>21.739130434782609</v>
      </c>
      <c r="CN51" s="198">
        <f>SL_pooling!J86</f>
        <v>29.885057471264371</v>
      </c>
      <c r="CO51" s="198">
        <f>SL_pooling!K86</f>
        <v>50.735294117647058</v>
      </c>
      <c r="CP51" s="198">
        <f>SL_pooling!L86</f>
        <v>57.731958762886592</v>
      </c>
      <c r="CQ51" s="198">
        <f>SL_pooling!M86</f>
        <v>57.731958762886592</v>
      </c>
      <c r="CR51" s="198">
        <f>SL_pooling!N86</f>
        <v>57.731958762886592</v>
      </c>
      <c r="CS51" s="199"/>
      <c r="CT51" s="195">
        <v>18</v>
      </c>
      <c r="CU51" s="220">
        <f t="shared" si="63"/>
        <v>0.4</v>
      </c>
      <c r="CV51" s="220">
        <f t="shared" si="64"/>
        <v>0.4</v>
      </c>
      <c r="CW51" s="220">
        <f t="shared" si="64"/>
        <v>0.4</v>
      </c>
      <c r="CX51" s="220">
        <f t="shared" si="64"/>
        <v>0.72164948453608246</v>
      </c>
      <c r="CY51" s="220">
        <f t="shared" si="64"/>
        <v>0.8484848484848484</v>
      </c>
      <c r="CZ51" s="220">
        <f t="shared" si="64"/>
        <v>0.39285714285714285</v>
      </c>
      <c r="DA51" s="220">
        <f t="shared" si="64"/>
        <v>0.21739130434782608</v>
      </c>
      <c r="DB51" s="220">
        <f t="shared" si="64"/>
        <v>0.2988505747126437</v>
      </c>
      <c r="DC51" s="220">
        <f t="shared" si="64"/>
        <v>0.50735294117647056</v>
      </c>
      <c r="DD51" s="220">
        <f t="shared" si="64"/>
        <v>0.57731958762886593</v>
      </c>
      <c r="DE51" s="220">
        <f t="shared" si="64"/>
        <v>0.57731958762886593</v>
      </c>
      <c r="DF51" s="220">
        <f t="shared" si="64"/>
        <v>0.57731958762886593</v>
      </c>
      <c r="DG51" s="199"/>
    </row>
    <row r="52" spans="1:111" x14ac:dyDescent="0.3">
      <c r="B52" s="239"/>
      <c r="C52" s="239"/>
      <c r="D52" s="239"/>
      <c r="E52" s="239"/>
      <c r="F52" s="239"/>
      <c r="G52" s="239"/>
      <c r="H52" s="239"/>
      <c r="I52" s="239"/>
      <c r="J52" s="239"/>
      <c r="K52" s="239"/>
      <c r="L52" s="239"/>
      <c r="Z52" s="141"/>
      <c r="AA52" s="143">
        <v>21</v>
      </c>
      <c r="AB52" s="143">
        <v>0</v>
      </c>
      <c r="AC52" s="143">
        <v>0</v>
      </c>
      <c r="AD52" s="143">
        <v>0</v>
      </c>
      <c r="AE52" s="143">
        <v>0</v>
      </c>
      <c r="AF52" s="143">
        <v>14</v>
      </c>
      <c r="AG52" s="143">
        <v>63</v>
      </c>
      <c r="AH52" s="143">
        <v>0</v>
      </c>
      <c r="AI52" s="143">
        <v>0</v>
      </c>
      <c r="AJ52" s="143">
        <v>54</v>
      </c>
      <c r="AK52" s="143">
        <v>89.7</v>
      </c>
      <c r="AL52" s="143">
        <v>45</v>
      </c>
      <c r="AM52" s="143">
        <v>74.3</v>
      </c>
      <c r="AN52" s="143">
        <v>23</v>
      </c>
      <c r="AO52" s="143">
        <v>56.6</v>
      </c>
      <c r="AP52" s="143">
        <v>2</v>
      </c>
      <c r="AQ52" s="143">
        <v>100</v>
      </c>
      <c r="AR52" s="143">
        <v>66</v>
      </c>
      <c r="AS52" s="143">
        <v>61.7</v>
      </c>
      <c r="AT52" s="143">
        <v>45</v>
      </c>
      <c r="AU52" s="143">
        <v>100</v>
      </c>
      <c r="AV52" s="143">
        <v>18</v>
      </c>
      <c r="AW52" s="143">
        <v>64.099999999999994</v>
      </c>
      <c r="AX52" s="143">
        <v>3</v>
      </c>
      <c r="AY52" s="143">
        <v>68.400000000000006</v>
      </c>
      <c r="AZ52" s="143">
        <v>271</v>
      </c>
      <c r="BA52" s="143">
        <v>72.5</v>
      </c>
      <c r="BC52" s="147"/>
      <c r="BD52" s="147">
        <v>20</v>
      </c>
      <c r="BE52" s="147">
        <f t="shared" si="41"/>
        <v>0</v>
      </c>
      <c r="BF52" s="134">
        <f t="shared" si="54"/>
        <v>0</v>
      </c>
      <c r="BG52" s="147">
        <f t="shared" si="42"/>
        <v>0</v>
      </c>
      <c r="BH52" s="134">
        <v>0</v>
      </c>
      <c r="BI52" s="147">
        <f t="shared" si="43"/>
        <v>14</v>
      </c>
      <c r="BJ52" s="134">
        <f t="shared" si="55"/>
        <v>45.161290322580641</v>
      </c>
      <c r="BK52" s="147">
        <f t="shared" si="44"/>
        <v>0</v>
      </c>
      <c r="BL52" s="134">
        <v>0</v>
      </c>
      <c r="BM52" s="147">
        <f t="shared" si="45"/>
        <v>56</v>
      </c>
      <c r="BN52" s="134">
        <f t="shared" si="56"/>
        <v>84.848484848484844</v>
      </c>
      <c r="BO52" s="147">
        <f t="shared" si="46"/>
        <v>58</v>
      </c>
      <c r="BP52" s="134">
        <f t="shared" si="57"/>
        <v>51.785714285714292</v>
      </c>
      <c r="BQ52" s="147">
        <f t="shared" si="47"/>
        <v>25</v>
      </c>
      <c r="BR52" s="134">
        <f t="shared" si="58"/>
        <v>27.173913043478258</v>
      </c>
      <c r="BS52" s="147">
        <f t="shared" si="48"/>
        <v>26</v>
      </c>
      <c r="BT52" s="134">
        <f t="shared" si="59"/>
        <v>29.885057471264371</v>
      </c>
      <c r="BU52" s="147">
        <f t="shared" si="49"/>
        <v>69</v>
      </c>
      <c r="BV52" s="134">
        <f t="shared" si="60"/>
        <v>50.735294117647058</v>
      </c>
      <c r="BW52" s="147">
        <f t="shared" si="50"/>
        <v>40</v>
      </c>
      <c r="BX52" s="134">
        <f t="shared" si="65"/>
        <v>67.796610169491515</v>
      </c>
      <c r="BY52" s="147">
        <f t="shared" si="51"/>
        <v>18</v>
      </c>
      <c r="BZ52" s="134">
        <f t="shared" si="61"/>
        <v>54.54545454545454</v>
      </c>
      <c r="CA52" s="147">
        <f t="shared" si="52"/>
        <v>3</v>
      </c>
      <c r="CB52" s="134">
        <f t="shared" si="66"/>
        <v>60</v>
      </c>
      <c r="CC52" s="147">
        <f t="shared" si="53"/>
        <v>311</v>
      </c>
      <c r="CD52" s="134">
        <f t="shared" si="62"/>
        <v>49.522292993630572</v>
      </c>
      <c r="CE52" s="147"/>
      <c r="CF52" s="147">
        <v>19</v>
      </c>
      <c r="CG52" s="198">
        <f>SL_pooling!C87</f>
        <v>40</v>
      </c>
      <c r="CH52" s="198">
        <f>SL_pooling!D87</f>
        <v>40</v>
      </c>
      <c r="CI52" s="198">
        <f>SL_pooling!E87</f>
        <v>40</v>
      </c>
      <c r="CJ52" s="198">
        <f>SL_pooling!F87</f>
        <v>72.164948453608247</v>
      </c>
      <c r="CK52" s="198">
        <f>SL_pooling!G87</f>
        <v>84.848484848484844</v>
      </c>
      <c r="CL52" s="198">
        <f>SL_pooling!H87</f>
        <v>51.785714285714292</v>
      </c>
      <c r="CM52" s="198">
        <f>SL_pooling!I87</f>
        <v>27.173913043478258</v>
      </c>
      <c r="CN52" s="198">
        <f>SL_pooling!J87</f>
        <v>29.885057471264371</v>
      </c>
      <c r="CO52" s="198">
        <f>SL_pooling!K87</f>
        <v>50.735294117647058</v>
      </c>
      <c r="CP52" s="198">
        <f>SL_pooling!L87</f>
        <v>57.731958762886592</v>
      </c>
      <c r="CQ52" s="198">
        <f>SL_pooling!M87</f>
        <v>57.731958762886592</v>
      </c>
      <c r="CR52" s="198">
        <f>SL_pooling!N87</f>
        <v>57.731958762886592</v>
      </c>
      <c r="CS52" s="199"/>
      <c r="CT52" s="195">
        <v>19</v>
      </c>
      <c r="CU52" s="220">
        <f t="shared" si="63"/>
        <v>0.4</v>
      </c>
      <c r="CV52" s="220">
        <f t="shared" si="64"/>
        <v>0.4</v>
      </c>
      <c r="CW52" s="220">
        <f t="shared" si="64"/>
        <v>0.4</v>
      </c>
      <c r="CX52" s="220">
        <f t="shared" si="64"/>
        <v>0.72164948453608246</v>
      </c>
      <c r="CY52" s="220">
        <f t="shared" si="64"/>
        <v>0.8484848484848484</v>
      </c>
      <c r="CZ52" s="220">
        <f t="shared" si="64"/>
        <v>0.5178571428571429</v>
      </c>
      <c r="DA52" s="220">
        <f t="shared" si="64"/>
        <v>0.27173913043478259</v>
      </c>
      <c r="DB52" s="220">
        <f t="shared" si="64"/>
        <v>0.2988505747126437</v>
      </c>
      <c r="DC52" s="220">
        <f t="shared" si="64"/>
        <v>0.50735294117647056</v>
      </c>
      <c r="DD52" s="220">
        <f t="shared" si="64"/>
        <v>0.57731958762886593</v>
      </c>
      <c r="DE52" s="220">
        <f t="shared" si="64"/>
        <v>0.57731958762886593</v>
      </c>
      <c r="DF52" s="220">
        <f t="shared" si="64"/>
        <v>0.57731958762886593</v>
      </c>
      <c r="DG52" s="199"/>
    </row>
    <row r="53" spans="1:111" x14ac:dyDescent="0.3">
      <c r="Z53" s="141"/>
      <c r="AA53" s="143">
        <v>22</v>
      </c>
      <c r="AB53" s="143">
        <v>0</v>
      </c>
      <c r="AC53" s="143">
        <v>0</v>
      </c>
      <c r="AD53" s="143">
        <v>0</v>
      </c>
      <c r="AE53" s="143">
        <v>0</v>
      </c>
      <c r="AF53" s="143">
        <v>14</v>
      </c>
      <c r="AG53" s="143">
        <v>63</v>
      </c>
      <c r="AH53" s="143">
        <v>0</v>
      </c>
      <c r="AI53" s="143">
        <v>0</v>
      </c>
      <c r="AJ53" s="143">
        <v>54</v>
      </c>
      <c r="AK53" s="143">
        <v>89.7</v>
      </c>
      <c r="AL53" s="143">
        <v>45</v>
      </c>
      <c r="AM53" s="143">
        <v>74.3</v>
      </c>
      <c r="AN53" s="143">
        <v>23</v>
      </c>
      <c r="AO53" s="143">
        <v>56.6</v>
      </c>
      <c r="AP53" s="143">
        <v>2</v>
      </c>
      <c r="AQ53" s="143">
        <v>100</v>
      </c>
      <c r="AR53" s="143">
        <v>66</v>
      </c>
      <c r="AS53" s="143">
        <v>61.7</v>
      </c>
      <c r="AT53" s="143">
        <v>45</v>
      </c>
      <c r="AU53" s="143">
        <v>100</v>
      </c>
      <c r="AV53" s="143">
        <v>18</v>
      </c>
      <c r="AW53" s="143">
        <v>64.099999999999994</v>
      </c>
      <c r="AX53" s="143">
        <v>3</v>
      </c>
      <c r="AY53" s="143">
        <v>68.400000000000006</v>
      </c>
      <c r="AZ53" s="143">
        <v>271</v>
      </c>
      <c r="BA53" s="143">
        <v>72.5</v>
      </c>
      <c r="BC53" s="147"/>
      <c r="BD53" s="147">
        <v>21</v>
      </c>
      <c r="BE53" s="147">
        <f t="shared" si="41"/>
        <v>0</v>
      </c>
      <c r="BF53" s="134">
        <f t="shared" si="54"/>
        <v>0</v>
      </c>
      <c r="BG53" s="147">
        <f t="shared" si="42"/>
        <v>0</v>
      </c>
      <c r="BH53" s="134">
        <v>0</v>
      </c>
      <c r="BI53" s="147">
        <f t="shared" si="43"/>
        <v>14</v>
      </c>
      <c r="BJ53" s="134">
        <f t="shared" si="55"/>
        <v>45.161290322580641</v>
      </c>
      <c r="BK53" s="147">
        <f t="shared" si="44"/>
        <v>0</v>
      </c>
      <c r="BL53" s="134">
        <v>0</v>
      </c>
      <c r="BM53" s="147">
        <f t="shared" si="45"/>
        <v>56</v>
      </c>
      <c r="BN53" s="134">
        <f t="shared" si="56"/>
        <v>84.848484848484844</v>
      </c>
      <c r="BO53" s="147">
        <f t="shared" si="46"/>
        <v>58</v>
      </c>
      <c r="BP53" s="134">
        <f t="shared" si="57"/>
        <v>51.785714285714292</v>
      </c>
      <c r="BQ53" s="147">
        <f t="shared" si="47"/>
        <v>25</v>
      </c>
      <c r="BR53" s="134">
        <f t="shared" si="58"/>
        <v>27.173913043478258</v>
      </c>
      <c r="BS53" s="147">
        <f t="shared" si="48"/>
        <v>26</v>
      </c>
      <c r="BT53" s="134">
        <f t="shared" si="59"/>
        <v>29.885057471264371</v>
      </c>
      <c r="BU53" s="147">
        <f t="shared" si="49"/>
        <v>82</v>
      </c>
      <c r="BV53" s="134">
        <f t="shared" si="60"/>
        <v>60.294117647058819</v>
      </c>
      <c r="BW53" s="147">
        <f t="shared" si="50"/>
        <v>47</v>
      </c>
      <c r="BX53" s="134">
        <f t="shared" si="65"/>
        <v>79.66101694915254</v>
      </c>
      <c r="BY53" s="147">
        <f t="shared" si="51"/>
        <v>18</v>
      </c>
      <c r="BZ53" s="134">
        <f t="shared" si="61"/>
        <v>54.54545454545454</v>
      </c>
      <c r="CA53" s="147">
        <f t="shared" si="52"/>
        <v>3</v>
      </c>
      <c r="CB53" s="134">
        <f t="shared" si="66"/>
        <v>60</v>
      </c>
      <c r="CC53" s="147">
        <f t="shared" si="53"/>
        <v>332</v>
      </c>
      <c r="CD53" s="134">
        <f t="shared" si="62"/>
        <v>52.866242038216562</v>
      </c>
      <c r="CE53" s="147"/>
      <c r="CF53" s="147">
        <v>20</v>
      </c>
      <c r="CG53" s="198">
        <f>SL_pooling!C88</f>
        <v>40</v>
      </c>
      <c r="CH53" s="198">
        <f>SL_pooling!D88</f>
        <v>40</v>
      </c>
      <c r="CI53" s="198">
        <f>SL_pooling!E88</f>
        <v>40</v>
      </c>
      <c r="CJ53" s="198">
        <f>SL_pooling!F88</f>
        <v>72.164948453608247</v>
      </c>
      <c r="CK53" s="198">
        <f>SL_pooling!G88</f>
        <v>84.848484848484844</v>
      </c>
      <c r="CL53" s="198">
        <f>SL_pooling!H88</f>
        <v>51.785714285714292</v>
      </c>
      <c r="CM53" s="198">
        <f>SL_pooling!I88</f>
        <v>27.173913043478258</v>
      </c>
      <c r="CN53" s="198">
        <f>SL_pooling!J88</f>
        <v>29.885057471264371</v>
      </c>
      <c r="CO53" s="198">
        <f>SL_pooling!K88</f>
        <v>50.735294117647058</v>
      </c>
      <c r="CP53" s="198">
        <f>SL_pooling!L88</f>
        <v>62.886597938144327</v>
      </c>
      <c r="CQ53" s="198">
        <f>SL_pooling!M88</f>
        <v>62.886597938144327</v>
      </c>
      <c r="CR53" s="198">
        <f>SL_pooling!N88</f>
        <v>62.886597938144327</v>
      </c>
      <c r="CS53" s="199"/>
      <c r="CT53" s="195">
        <v>20</v>
      </c>
      <c r="CU53" s="220">
        <f t="shared" si="63"/>
        <v>0.4</v>
      </c>
      <c r="CV53" s="220">
        <f t="shared" si="64"/>
        <v>0.4</v>
      </c>
      <c r="CW53" s="220">
        <f t="shared" si="64"/>
        <v>0.4</v>
      </c>
      <c r="CX53" s="220">
        <f t="shared" si="64"/>
        <v>0.72164948453608246</v>
      </c>
      <c r="CY53" s="220">
        <f t="shared" si="64"/>
        <v>0.8484848484848484</v>
      </c>
      <c r="CZ53" s="220">
        <f t="shared" si="64"/>
        <v>0.5178571428571429</v>
      </c>
      <c r="DA53" s="220">
        <f t="shared" si="64"/>
        <v>0.27173913043478259</v>
      </c>
      <c r="DB53" s="220">
        <f t="shared" si="64"/>
        <v>0.2988505747126437</v>
      </c>
      <c r="DC53" s="220">
        <f t="shared" si="64"/>
        <v>0.50735294117647056</v>
      </c>
      <c r="DD53" s="220">
        <f t="shared" si="64"/>
        <v>0.62886597938144329</v>
      </c>
      <c r="DE53" s="220">
        <f t="shared" si="64"/>
        <v>0.62886597938144329</v>
      </c>
      <c r="DF53" s="220">
        <f t="shared" si="64"/>
        <v>0.62886597938144329</v>
      </c>
      <c r="DG53" s="199"/>
    </row>
    <row r="54" spans="1:111" x14ac:dyDescent="0.3">
      <c r="Z54" s="141"/>
      <c r="AA54" s="143">
        <v>23</v>
      </c>
      <c r="AB54" s="143">
        <v>0</v>
      </c>
      <c r="AC54" s="143">
        <v>0</v>
      </c>
      <c r="AD54" s="143">
        <v>0</v>
      </c>
      <c r="AE54" s="143">
        <v>0</v>
      </c>
      <c r="AF54" s="143">
        <v>14</v>
      </c>
      <c r="AG54" s="143">
        <v>63</v>
      </c>
      <c r="AH54" s="143">
        <v>0</v>
      </c>
      <c r="AI54" s="143">
        <v>0</v>
      </c>
      <c r="AJ54" s="143">
        <v>54</v>
      </c>
      <c r="AK54" s="143">
        <v>89.7</v>
      </c>
      <c r="AL54" s="143">
        <v>45</v>
      </c>
      <c r="AM54" s="143">
        <v>74.3</v>
      </c>
      <c r="AN54" s="143">
        <v>23</v>
      </c>
      <c r="AO54" s="143">
        <v>56.6</v>
      </c>
      <c r="AP54" s="143">
        <v>2</v>
      </c>
      <c r="AQ54" s="143">
        <v>100</v>
      </c>
      <c r="AR54" s="143">
        <v>66</v>
      </c>
      <c r="AS54" s="143">
        <v>61.7</v>
      </c>
      <c r="AT54" s="143">
        <v>45</v>
      </c>
      <c r="AU54" s="143">
        <v>100</v>
      </c>
      <c r="AV54" s="143">
        <v>18</v>
      </c>
      <c r="AW54" s="143">
        <v>64.099999999999994</v>
      </c>
      <c r="AX54" s="143">
        <v>3</v>
      </c>
      <c r="AY54" s="143">
        <v>68.400000000000006</v>
      </c>
      <c r="AZ54" s="143">
        <v>271</v>
      </c>
      <c r="BA54" s="143">
        <v>72.5</v>
      </c>
      <c r="BC54" s="147"/>
      <c r="BD54" s="147">
        <v>22</v>
      </c>
      <c r="BE54" s="147">
        <f t="shared" si="41"/>
        <v>0</v>
      </c>
      <c r="BF54" s="134">
        <f t="shared" si="54"/>
        <v>0</v>
      </c>
      <c r="BG54" s="147">
        <f t="shared" si="42"/>
        <v>0</v>
      </c>
      <c r="BH54" s="134">
        <v>0</v>
      </c>
      <c r="BI54" s="147">
        <f t="shared" si="43"/>
        <v>14</v>
      </c>
      <c r="BJ54" s="134">
        <f t="shared" si="55"/>
        <v>45.161290322580641</v>
      </c>
      <c r="BK54" s="147">
        <f t="shared" si="44"/>
        <v>0</v>
      </c>
      <c r="BL54" s="134">
        <v>0</v>
      </c>
      <c r="BM54" s="147">
        <f t="shared" si="45"/>
        <v>56</v>
      </c>
      <c r="BN54" s="134">
        <f t="shared" si="56"/>
        <v>84.848484848484844</v>
      </c>
      <c r="BO54" s="147">
        <f t="shared" si="46"/>
        <v>58</v>
      </c>
      <c r="BP54" s="134">
        <f t="shared" si="57"/>
        <v>51.785714285714292</v>
      </c>
      <c r="BQ54" s="147">
        <f t="shared" si="47"/>
        <v>25</v>
      </c>
      <c r="BR54" s="134">
        <f t="shared" si="58"/>
        <v>27.173913043478258</v>
      </c>
      <c r="BS54" s="147">
        <f t="shared" si="48"/>
        <v>26</v>
      </c>
      <c r="BT54" s="134">
        <f t="shared" si="59"/>
        <v>29.885057471264371</v>
      </c>
      <c r="BU54" s="147">
        <f t="shared" si="49"/>
        <v>82</v>
      </c>
      <c r="BV54" s="134">
        <f t="shared" si="60"/>
        <v>60.294117647058819</v>
      </c>
      <c r="BW54" s="147">
        <f t="shared" si="50"/>
        <v>47</v>
      </c>
      <c r="BX54" s="134">
        <f t="shared" si="65"/>
        <v>79.66101694915254</v>
      </c>
      <c r="BY54" s="147">
        <f t="shared" si="51"/>
        <v>18</v>
      </c>
      <c r="BZ54" s="134">
        <f t="shared" si="61"/>
        <v>54.54545454545454</v>
      </c>
      <c r="CA54" s="147">
        <f t="shared" si="52"/>
        <v>3</v>
      </c>
      <c r="CB54" s="134">
        <f t="shared" si="66"/>
        <v>60</v>
      </c>
      <c r="CC54" s="147">
        <f t="shared" si="53"/>
        <v>332</v>
      </c>
      <c r="CD54" s="134">
        <f t="shared" si="62"/>
        <v>52.866242038216562</v>
      </c>
      <c r="CE54" s="147"/>
      <c r="CF54" s="147"/>
      <c r="CG54" s="147"/>
      <c r="CH54" s="147"/>
      <c r="CI54" s="147"/>
      <c r="CJ54" s="147"/>
      <c r="CK54" s="147"/>
      <c r="CL54" s="147"/>
      <c r="CM54" s="147"/>
      <c r="CN54" s="147"/>
      <c r="CO54" s="147"/>
      <c r="CP54" s="147"/>
      <c r="CQ54" s="147"/>
      <c r="CR54" s="147"/>
      <c r="CS54" s="147"/>
      <c r="CT54" s="147"/>
      <c r="CU54" s="147"/>
    </row>
    <row r="55" spans="1:111" x14ac:dyDescent="0.3">
      <c r="Z55" s="141"/>
      <c r="AA55" s="143">
        <v>24</v>
      </c>
      <c r="AB55" s="143">
        <v>0</v>
      </c>
      <c r="AC55" s="143">
        <v>0</v>
      </c>
      <c r="AD55" s="143">
        <v>0</v>
      </c>
      <c r="AE55" s="143">
        <v>0</v>
      </c>
      <c r="AF55" s="143">
        <v>14</v>
      </c>
      <c r="AG55" s="143">
        <v>63</v>
      </c>
      <c r="AH55" s="143">
        <v>0</v>
      </c>
      <c r="AI55" s="143">
        <v>0</v>
      </c>
      <c r="AJ55" s="143">
        <v>54</v>
      </c>
      <c r="AK55" s="143">
        <v>89.7</v>
      </c>
      <c r="AL55" s="143">
        <v>45</v>
      </c>
      <c r="AM55" s="143">
        <v>74.3</v>
      </c>
      <c r="AN55" s="143">
        <v>23</v>
      </c>
      <c r="AO55" s="143">
        <v>56.6</v>
      </c>
      <c r="AP55" s="143">
        <v>2</v>
      </c>
      <c r="AQ55" s="143">
        <v>100</v>
      </c>
      <c r="AR55" s="143">
        <v>66</v>
      </c>
      <c r="AS55" s="143">
        <v>61.7</v>
      </c>
      <c r="AT55" s="143">
        <v>45</v>
      </c>
      <c r="AU55" s="143">
        <v>100</v>
      </c>
      <c r="AV55" s="143">
        <v>18</v>
      </c>
      <c r="AW55" s="143">
        <v>64.099999999999994</v>
      </c>
      <c r="AX55" s="143">
        <v>3</v>
      </c>
      <c r="AY55" s="143">
        <v>68.400000000000006</v>
      </c>
      <c r="AZ55" s="143">
        <v>271</v>
      </c>
      <c r="BA55" s="143">
        <v>72.5</v>
      </c>
      <c r="BC55" s="147"/>
      <c r="BD55" s="147">
        <v>23</v>
      </c>
      <c r="BE55" s="147">
        <f t="shared" si="41"/>
        <v>0</v>
      </c>
      <c r="BF55" s="134">
        <f t="shared" si="54"/>
        <v>0</v>
      </c>
      <c r="BG55" s="147">
        <f t="shared" si="42"/>
        <v>0</v>
      </c>
      <c r="BH55" s="134">
        <v>0</v>
      </c>
      <c r="BI55" s="147">
        <f t="shared" si="43"/>
        <v>14</v>
      </c>
      <c r="BJ55" s="134">
        <f t="shared" si="55"/>
        <v>45.161290322580641</v>
      </c>
      <c r="BK55" s="147">
        <f t="shared" si="44"/>
        <v>0</v>
      </c>
      <c r="BL55" s="134">
        <v>0</v>
      </c>
      <c r="BM55" s="147">
        <f t="shared" si="45"/>
        <v>56</v>
      </c>
      <c r="BN55" s="134">
        <f t="shared" si="56"/>
        <v>84.848484848484844</v>
      </c>
      <c r="BO55" s="147">
        <f t="shared" si="46"/>
        <v>58</v>
      </c>
      <c r="BP55" s="134">
        <f t="shared" si="57"/>
        <v>51.785714285714292</v>
      </c>
      <c r="BQ55" s="147">
        <f t="shared" si="47"/>
        <v>25</v>
      </c>
      <c r="BR55" s="134">
        <f t="shared" si="58"/>
        <v>27.173913043478258</v>
      </c>
      <c r="BS55" s="147">
        <f t="shared" si="48"/>
        <v>26</v>
      </c>
      <c r="BT55" s="134">
        <f t="shared" si="59"/>
        <v>29.885057471264371</v>
      </c>
      <c r="BU55" s="147">
        <f t="shared" si="49"/>
        <v>82</v>
      </c>
      <c r="BV55" s="134">
        <f t="shared" si="60"/>
        <v>60.294117647058819</v>
      </c>
      <c r="BW55" s="147">
        <f t="shared" si="50"/>
        <v>47</v>
      </c>
      <c r="BX55" s="134">
        <f t="shared" si="65"/>
        <v>79.66101694915254</v>
      </c>
      <c r="BY55" s="147">
        <f t="shared" si="51"/>
        <v>18</v>
      </c>
      <c r="BZ55" s="134">
        <f t="shared" si="61"/>
        <v>54.54545454545454</v>
      </c>
      <c r="CA55" s="147">
        <f t="shared" si="52"/>
        <v>3</v>
      </c>
      <c r="CB55" s="134">
        <f t="shared" si="66"/>
        <v>60</v>
      </c>
      <c r="CC55" s="147">
        <f t="shared" si="53"/>
        <v>332</v>
      </c>
      <c r="CD55" s="134">
        <f>(CC55/$CC$44)*100</f>
        <v>52.866242038216562</v>
      </c>
      <c r="CE55" s="147"/>
      <c r="CF55" s="147"/>
      <c r="CG55" s="147"/>
      <c r="CH55" s="147"/>
      <c r="CI55" s="147"/>
      <c r="CJ55" s="147"/>
      <c r="CK55" s="147"/>
      <c r="CL55" s="147"/>
      <c r="CM55" s="147"/>
      <c r="CN55" s="147"/>
      <c r="CO55" s="147"/>
      <c r="CP55" s="147"/>
      <c r="CQ55" s="147"/>
      <c r="CR55" s="147"/>
      <c r="CS55" s="147"/>
      <c r="CT55" s="147"/>
      <c r="CU55" s="147"/>
    </row>
    <row r="56" spans="1:111" x14ac:dyDescent="0.3">
      <c r="Z56" s="141"/>
      <c r="AA56" s="143">
        <v>25</v>
      </c>
      <c r="AB56" s="143">
        <v>0</v>
      </c>
      <c r="AC56" s="143">
        <v>0</v>
      </c>
      <c r="AD56" s="143">
        <v>0</v>
      </c>
      <c r="AE56" s="143">
        <v>0</v>
      </c>
      <c r="AF56" s="143">
        <v>14</v>
      </c>
      <c r="AG56" s="143">
        <v>63</v>
      </c>
      <c r="AH56" s="143">
        <v>0</v>
      </c>
      <c r="AI56" s="143">
        <v>0</v>
      </c>
      <c r="AJ56" s="143">
        <v>54</v>
      </c>
      <c r="AK56" s="143">
        <v>89.7</v>
      </c>
      <c r="AL56" s="143">
        <v>45</v>
      </c>
      <c r="AM56" s="143">
        <v>74.3</v>
      </c>
      <c r="AN56" s="143">
        <v>23</v>
      </c>
      <c r="AO56" s="143">
        <v>56.6</v>
      </c>
      <c r="AP56" s="143">
        <v>2</v>
      </c>
      <c r="AQ56" s="143">
        <v>100</v>
      </c>
      <c r="AR56" s="143">
        <v>66</v>
      </c>
      <c r="AS56" s="143">
        <v>61.7</v>
      </c>
      <c r="AT56" s="143">
        <v>45</v>
      </c>
      <c r="AU56" s="143">
        <v>100</v>
      </c>
      <c r="AV56" s="143">
        <v>18</v>
      </c>
      <c r="AW56" s="143">
        <v>64.099999999999994</v>
      </c>
      <c r="AX56" s="143">
        <v>3</v>
      </c>
      <c r="AY56" s="143">
        <v>68.400000000000006</v>
      </c>
      <c r="AZ56" s="143">
        <v>271</v>
      </c>
      <c r="BA56" s="143">
        <v>72.5</v>
      </c>
      <c r="BC56" s="147"/>
      <c r="BD56" s="147">
        <v>24</v>
      </c>
      <c r="BE56" s="147">
        <f t="shared" si="41"/>
        <v>0</v>
      </c>
      <c r="BF56" s="134">
        <f t="shared" si="54"/>
        <v>0</v>
      </c>
      <c r="BG56" s="147">
        <f t="shared" si="42"/>
        <v>0</v>
      </c>
      <c r="BH56" s="134">
        <v>0</v>
      </c>
      <c r="BI56" s="147">
        <f t="shared" si="43"/>
        <v>14</v>
      </c>
      <c r="BJ56" s="134">
        <f t="shared" si="55"/>
        <v>45.161290322580641</v>
      </c>
      <c r="BK56" s="147">
        <f t="shared" si="44"/>
        <v>0</v>
      </c>
      <c r="BL56" s="134">
        <v>0</v>
      </c>
      <c r="BM56" s="147">
        <f t="shared" si="45"/>
        <v>56</v>
      </c>
      <c r="BN56" s="134">
        <f t="shared" si="56"/>
        <v>84.848484848484844</v>
      </c>
      <c r="BO56" s="147">
        <f t="shared" si="46"/>
        <v>58</v>
      </c>
      <c r="BP56" s="134">
        <f t="shared" si="57"/>
        <v>51.785714285714292</v>
      </c>
      <c r="BQ56" s="147">
        <f t="shared" si="47"/>
        <v>25</v>
      </c>
      <c r="BR56" s="134">
        <f t="shared" si="58"/>
        <v>27.173913043478258</v>
      </c>
      <c r="BS56" s="147">
        <f t="shared" si="48"/>
        <v>26</v>
      </c>
      <c r="BT56" s="134">
        <f t="shared" si="59"/>
        <v>29.885057471264371</v>
      </c>
      <c r="BU56" s="147">
        <f t="shared" si="49"/>
        <v>82</v>
      </c>
      <c r="BV56" s="134">
        <f t="shared" si="60"/>
        <v>60.294117647058819</v>
      </c>
      <c r="BW56" s="147">
        <f t="shared" si="50"/>
        <v>47</v>
      </c>
      <c r="BX56" s="134">
        <f t="shared" si="65"/>
        <v>79.66101694915254</v>
      </c>
      <c r="BY56" s="147">
        <f t="shared" si="51"/>
        <v>18</v>
      </c>
      <c r="BZ56" s="134">
        <f t="shared" si="61"/>
        <v>54.54545454545454</v>
      </c>
      <c r="CA56" s="147">
        <f t="shared" si="52"/>
        <v>3</v>
      </c>
      <c r="CB56" s="134">
        <f t="shared" si="66"/>
        <v>60</v>
      </c>
      <c r="CC56" s="147">
        <f t="shared" si="53"/>
        <v>332</v>
      </c>
      <c r="CD56" s="134">
        <f t="shared" si="62"/>
        <v>52.866242038216562</v>
      </c>
      <c r="CE56" s="147"/>
      <c r="CF56" s="147"/>
      <c r="CG56" s="147"/>
      <c r="CH56" s="147"/>
      <c r="CI56" s="147"/>
      <c r="CJ56" s="147"/>
      <c r="CK56" s="147"/>
      <c r="CL56" s="147"/>
      <c r="CM56" s="147"/>
      <c r="CN56" s="147"/>
      <c r="CO56" s="147"/>
      <c r="CP56" s="147"/>
      <c r="CQ56" s="147"/>
      <c r="CR56" s="147"/>
      <c r="CS56" s="147"/>
      <c r="CT56" s="147"/>
      <c r="CU56" s="147"/>
    </row>
    <row r="57" spans="1:111" x14ac:dyDescent="0.3">
      <c r="AA57" s="194" t="s">
        <v>92</v>
      </c>
      <c r="AC57">
        <f>AC42+AB78</f>
        <v>1</v>
      </c>
      <c r="AD57" s="193"/>
      <c r="AE57" s="193">
        <f>AE42+AD78</f>
        <v>2</v>
      </c>
      <c r="AF57" s="193"/>
      <c r="AG57" s="193">
        <f>AG42+AF78</f>
        <v>18</v>
      </c>
      <c r="AH57" s="193"/>
      <c r="AI57" s="193">
        <f>AI42+AH78</f>
        <v>0</v>
      </c>
      <c r="AJ57" s="193"/>
      <c r="AK57" s="193">
        <f>AK42+AJ78</f>
        <v>25</v>
      </c>
      <c r="AL57" s="193"/>
      <c r="AM57" s="193">
        <f>AM42+AL78</f>
        <v>71</v>
      </c>
      <c r="AO57" s="193">
        <f>AO42+AN78</f>
        <v>68</v>
      </c>
      <c r="AQ57" s="193">
        <f>AQ42+AP78</f>
        <v>86</v>
      </c>
      <c r="AS57" s="193">
        <f>AS42+AR78</f>
        <v>69</v>
      </c>
      <c r="AU57" s="193">
        <f>AU42+AT78</f>
        <v>27</v>
      </c>
      <c r="AW57" s="193">
        <f>AW42+AV78</f>
        <v>14</v>
      </c>
      <c r="AY57" s="193">
        <f>AY42+AX78</f>
        <v>3</v>
      </c>
      <c r="BC57" s="147"/>
      <c r="BD57" s="147">
        <v>25</v>
      </c>
      <c r="BE57" s="147">
        <f t="shared" si="41"/>
        <v>0</v>
      </c>
      <c r="BF57" s="134">
        <f>(BE57/$BE$44)*100</f>
        <v>0</v>
      </c>
      <c r="BG57" s="147">
        <f t="shared" si="42"/>
        <v>0</v>
      </c>
      <c r="BH57" s="134">
        <v>0</v>
      </c>
      <c r="BI57" s="147">
        <f t="shared" si="43"/>
        <v>14</v>
      </c>
      <c r="BJ57" s="134">
        <f t="shared" si="55"/>
        <v>45.161290322580641</v>
      </c>
      <c r="BK57" s="147">
        <f t="shared" si="44"/>
        <v>0</v>
      </c>
      <c r="BL57" s="134">
        <v>0</v>
      </c>
      <c r="BM57" s="147">
        <f t="shared" si="45"/>
        <v>56</v>
      </c>
      <c r="BN57" s="134">
        <f t="shared" si="56"/>
        <v>84.848484848484844</v>
      </c>
      <c r="BO57" s="147">
        <f t="shared" si="46"/>
        <v>58</v>
      </c>
      <c r="BP57" s="134">
        <f t="shared" si="57"/>
        <v>51.785714285714292</v>
      </c>
      <c r="BQ57" s="147">
        <f t="shared" si="47"/>
        <v>25</v>
      </c>
      <c r="BR57" s="134">
        <f t="shared" si="58"/>
        <v>27.173913043478258</v>
      </c>
      <c r="BS57" s="147">
        <f t="shared" si="48"/>
        <v>26</v>
      </c>
      <c r="BT57" s="134">
        <f t="shared" si="59"/>
        <v>29.885057471264371</v>
      </c>
      <c r="BU57" s="147">
        <f t="shared" si="49"/>
        <v>82</v>
      </c>
      <c r="BV57" s="134">
        <f t="shared" si="60"/>
        <v>60.294117647058819</v>
      </c>
      <c r="BW57" s="147">
        <f t="shared" si="50"/>
        <v>47</v>
      </c>
      <c r="BX57" s="134">
        <f t="shared" si="65"/>
        <v>79.66101694915254</v>
      </c>
      <c r="BY57" s="147">
        <f t="shared" si="51"/>
        <v>18</v>
      </c>
      <c r="BZ57" s="134">
        <f t="shared" si="61"/>
        <v>54.54545454545454</v>
      </c>
      <c r="CA57" s="147">
        <f t="shared" si="52"/>
        <v>3</v>
      </c>
      <c r="CB57" s="134">
        <f t="shared" si="66"/>
        <v>60</v>
      </c>
      <c r="CC57" s="147">
        <f t="shared" si="53"/>
        <v>332</v>
      </c>
      <c r="CD57" s="134">
        <f t="shared" si="62"/>
        <v>52.866242038216562</v>
      </c>
      <c r="CE57" s="147"/>
      <c r="CF57" s="147"/>
      <c r="CG57" s="147"/>
      <c r="CH57" s="147"/>
      <c r="CI57" s="147"/>
      <c r="CJ57" s="147"/>
      <c r="CK57" s="147"/>
      <c r="CL57" s="147"/>
      <c r="CM57" s="147"/>
      <c r="CN57" s="147"/>
      <c r="CO57" s="147"/>
      <c r="CP57" s="147"/>
      <c r="CQ57" s="147"/>
      <c r="CR57" s="147"/>
      <c r="CS57" s="147"/>
      <c r="CT57" s="147"/>
      <c r="CU57" s="147"/>
    </row>
    <row r="58" spans="1:111" x14ac:dyDescent="0.3">
      <c r="A58" s="190"/>
      <c r="C58" s="190"/>
      <c r="D58" s="190"/>
      <c r="E58" s="190"/>
      <c r="F58" s="190"/>
      <c r="G58" s="190"/>
      <c r="Z58" s="11" t="s">
        <v>85</v>
      </c>
      <c r="BC58" s="147"/>
      <c r="BD58" s="147"/>
      <c r="BE58" s="147"/>
      <c r="BF58" s="147"/>
      <c r="BG58" s="147"/>
      <c r="BH58" s="147"/>
      <c r="BI58" s="147"/>
      <c r="BJ58" s="147"/>
      <c r="BK58" s="147"/>
      <c r="BL58" s="147"/>
      <c r="BM58" s="147"/>
      <c r="BN58" s="147"/>
      <c r="BO58" s="147"/>
      <c r="BP58" s="147"/>
      <c r="BQ58" s="147"/>
      <c r="BR58" s="147"/>
      <c r="BS58" s="147"/>
      <c r="BT58" s="147"/>
      <c r="BU58" s="147"/>
      <c r="BV58" s="147"/>
      <c r="BW58" s="147"/>
      <c r="BX58" s="147"/>
      <c r="BY58" s="147"/>
      <c r="BZ58" s="147"/>
      <c r="CA58" s="147"/>
      <c r="CB58" s="147"/>
      <c r="CC58" s="147"/>
      <c r="CD58" s="147"/>
      <c r="CE58" s="147"/>
      <c r="CF58" s="147"/>
      <c r="CG58" s="147"/>
      <c r="CH58" s="147"/>
      <c r="CI58" s="147"/>
      <c r="CJ58" s="147"/>
      <c r="CK58" s="147"/>
      <c r="CL58" s="147"/>
      <c r="CM58" s="147"/>
      <c r="CN58" s="147"/>
      <c r="CO58" s="147"/>
      <c r="CP58" s="147"/>
      <c r="CQ58" s="147"/>
      <c r="CR58" s="147"/>
      <c r="CS58" s="147"/>
      <c r="CT58" s="147"/>
      <c r="CU58" s="147"/>
    </row>
    <row r="59" spans="1:111" x14ac:dyDescent="0.3">
      <c r="A59" s="186"/>
      <c r="B59" s="186"/>
      <c r="C59" s="190"/>
      <c r="D59" s="190"/>
      <c r="E59" s="190"/>
      <c r="F59" s="190"/>
      <c r="G59" s="190"/>
      <c r="H59" s="186"/>
      <c r="I59" s="186"/>
      <c r="J59" s="186"/>
      <c r="K59" s="186"/>
      <c r="L59" s="186"/>
      <c r="M59" s="186"/>
      <c r="N59" s="186"/>
      <c r="Z59" s="188" t="s">
        <v>43</v>
      </c>
      <c r="AA59" s="188"/>
      <c r="AB59" s="188">
        <v>1</v>
      </c>
      <c r="AC59" s="188"/>
      <c r="AD59" s="188">
        <v>2</v>
      </c>
      <c r="AE59" s="188"/>
      <c r="AF59" s="188">
        <v>3</v>
      </c>
      <c r="AG59" s="188"/>
      <c r="AH59" s="188">
        <v>4</v>
      </c>
      <c r="AI59" s="188"/>
      <c r="AJ59" s="188">
        <v>5</v>
      </c>
      <c r="AK59" s="188"/>
      <c r="AL59" s="188">
        <v>6</v>
      </c>
      <c r="AM59" s="188"/>
      <c r="AN59" s="188">
        <v>7</v>
      </c>
      <c r="AO59" s="188"/>
      <c r="AP59" s="188">
        <v>8</v>
      </c>
      <c r="AQ59" s="188"/>
      <c r="AR59" s="188">
        <v>9</v>
      </c>
      <c r="AS59" s="188"/>
      <c r="AT59" s="188">
        <v>10</v>
      </c>
      <c r="AU59" s="188"/>
      <c r="AV59" s="188">
        <v>11</v>
      </c>
      <c r="AW59" s="188"/>
      <c r="AX59" s="188">
        <v>12</v>
      </c>
      <c r="AY59" s="188"/>
      <c r="AZ59" s="188" t="s">
        <v>65</v>
      </c>
      <c r="BA59" s="188"/>
      <c r="BC59" s="187"/>
      <c r="BD59" s="187"/>
      <c r="BF59" s="146"/>
      <c r="BG59" s="146"/>
      <c r="BH59" s="146"/>
      <c r="BI59" s="146"/>
      <c r="BJ59" s="146"/>
      <c r="BK59" s="146"/>
      <c r="BL59" s="146"/>
      <c r="BM59" s="146"/>
      <c r="BN59" s="146"/>
      <c r="BO59" s="146"/>
      <c r="BP59" s="146"/>
      <c r="BQ59" s="146"/>
      <c r="BR59" s="146"/>
      <c r="BS59" s="146"/>
      <c r="BT59" s="146"/>
      <c r="BU59" s="146"/>
      <c r="BV59" s="146"/>
      <c r="BW59" s="146"/>
      <c r="BX59" s="146"/>
      <c r="BY59" s="146"/>
    </row>
    <row r="60" spans="1:111" s="190" customFormat="1" x14ac:dyDescent="0.3">
      <c r="O60" s="195"/>
      <c r="P60" s="195"/>
      <c r="Q60" s="195"/>
      <c r="R60" s="195"/>
      <c r="S60" s="195"/>
      <c r="T60" s="195"/>
      <c r="U60" s="195"/>
      <c r="V60" s="195"/>
      <c r="W60" s="195"/>
      <c r="X60" s="195"/>
      <c r="Z60" s="190" t="s">
        <v>62</v>
      </c>
      <c r="AB60" s="190">
        <v>0</v>
      </c>
      <c r="AD60" s="190">
        <v>0</v>
      </c>
      <c r="AF60" s="190">
        <v>0</v>
      </c>
      <c r="AH60" s="190">
        <v>0</v>
      </c>
      <c r="AJ60" s="190">
        <v>1</v>
      </c>
      <c r="AL60" s="190">
        <v>5</v>
      </c>
      <c r="AN60" s="190">
        <v>1</v>
      </c>
      <c r="AP60" s="190">
        <v>2</v>
      </c>
      <c r="AR60" s="190">
        <v>0</v>
      </c>
      <c r="AT60" s="190">
        <v>0</v>
      </c>
      <c r="AV60" s="190">
        <v>0</v>
      </c>
      <c r="AX60" s="190">
        <v>0</v>
      </c>
      <c r="AZ60" s="190">
        <f>SUM(AB60:AX60)</f>
        <v>9</v>
      </c>
    </row>
    <row r="61" spans="1:111" x14ac:dyDescent="0.3">
      <c r="A61" s="186"/>
      <c r="B61" s="186"/>
      <c r="C61" s="186"/>
      <c r="D61" s="186"/>
      <c r="E61" s="186"/>
      <c r="F61" s="186"/>
      <c r="G61" s="186"/>
      <c r="H61" s="186"/>
      <c r="I61" s="186"/>
      <c r="J61" s="186"/>
      <c r="K61" s="186"/>
      <c r="L61" s="186"/>
      <c r="M61" s="186"/>
      <c r="N61" s="186"/>
      <c r="Z61" s="188" t="s">
        <v>54</v>
      </c>
      <c r="AA61" s="188" t="s">
        <v>49</v>
      </c>
      <c r="AB61" s="188">
        <v>0</v>
      </c>
      <c r="AC61" s="188">
        <v>0</v>
      </c>
      <c r="AD61" s="188">
        <v>0</v>
      </c>
      <c r="AE61" s="188">
        <v>0</v>
      </c>
      <c r="AF61" s="188">
        <v>0</v>
      </c>
      <c r="AG61" s="188">
        <v>0</v>
      </c>
      <c r="AH61" s="188">
        <v>0</v>
      </c>
      <c r="AI61" s="188">
        <v>0</v>
      </c>
      <c r="AJ61" s="188">
        <v>2</v>
      </c>
      <c r="AK61" s="188">
        <v>100</v>
      </c>
      <c r="AL61" s="188">
        <v>13</v>
      </c>
      <c r="AM61" s="188">
        <v>100</v>
      </c>
      <c r="AN61" s="188">
        <v>3</v>
      </c>
      <c r="AO61" s="188">
        <v>100</v>
      </c>
      <c r="AP61" s="188">
        <v>5</v>
      </c>
      <c r="AQ61" s="188">
        <v>100</v>
      </c>
      <c r="AR61" s="188">
        <v>0</v>
      </c>
      <c r="AS61" s="188">
        <v>0</v>
      </c>
      <c r="AT61" s="188">
        <v>0</v>
      </c>
      <c r="AU61" s="188">
        <v>0</v>
      </c>
      <c r="AV61" s="188">
        <v>0</v>
      </c>
      <c r="AW61" s="188">
        <v>0</v>
      </c>
      <c r="AX61" s="188">
        <v>0</v>
      </c>
      <c r="AY61" s="188">
        <v>0</v>
      </c>
      <c r="AZ61" s="188">
        <v>23</v>
      </c>
      <c r="BA61" s="188">
        <v>100</v>
      </c>
      <c r="BC61" s="187"/>
      <c r="BD61" s="187"/>
      <c r="BF61" s="146"/>
      <c r="BG61" s="146"/>
      <c r="BH61" s="146"/>
      <c r="BI61" s="146"/>
      <c r="BJ61" s="146"/>
      <c r="BK61" s="146"/>
      <c r="BL61" s="146"/>
      <c r="BM61" s="146"/>
      <c r="BN61" s="146"/>
      <c r="BO61" s="146"/>
      <c r="BP61" s="146"/>
      <c r="BQ61" s="146"/>
      <c r="BR61" s="146"/>
      <c r="BS61" s="146"/>
      <c r="BT61" s="146"/>
      <c r="BU61" s="146"/>
      <c r="BV61" s="146"/>
      <c r="BW61" s="146"/>
      <c r="BX61" s="146"/>
      <c r="BY61" s="146"/>
    </row>
    <row r="62" spans="1:111" x14ac:dyDescent="0.3">
      <c r="A62" s="190"/>
      <c r="B62" s="186"/>
      <c r="C62" s="191"/>
      <c r="D62" s="191"/>
      <c r="E62" s="191"/>
      <c r="F62" s="191"/>
      <c r="G62" s="191"/>
      <c r="H62" s="191"/>
      <c r="I62" s="191"/>
      <c r="J62" s="191"/>
      <c r="K62" s="191"/>
      <c r="L62" s="191"/>
      <c r="M62" s="191"/>
      <c r="N62" s="186"/>
      <c r="Z62" s="188"/>
      <c r="AA62" s="188" t="s">
        <v>63</v>
      </c>
      <c r="AB62" s="188">
        <v>0</v>
      </c>
      <c r="AC62" s="188">
        <v>0</v>
      </c>
      <c r="AD62" s="188">
        <v>0</v>
      </c>
      <c r="AE62" s="188">
        <v>0</v>
      </c>
      <c r="AF62" s="188">
        <v>0</v>
      </c>
      <c r="AG62" s="188">
        <v>0</v>
      </c>
      <c r="AH62" s="188">
        <v>0</v>
      </c>
      <c r="AI62" s="188">
        <v>0</v>
      </c>
      <c r="AJ62" s="188">
        <v>0</v>
      </c>
      <c r="AK62" s="188">
        <v>0</v>
      </c>
      <c r="AL62" s="188">
        <v>2</v>
      </c>
      <c r="AM62" s="188">
        <v>13.5</v>
      </c>
      <c r="AN62" s="188">
        <v>0</v>
      </c>
      <c r="AO62" s="188">
        <v>0</v>
      </c>
      <c r="AP62" s="188">
        <v>0</v>
      </c>
      <c r="AQ62" s="188">
        <v>0</v>
      </c>
      <c r="AR62" s="188">
        <v>0</v>
      </c>
      <c r="AS62" s="188">
        <v>0</v>
      </c>
      <c r="AT62" s="188">
        <v>0</v>
      </c>
      <c r="AU62" s="188">
        <v>0</v>
      </c>
      <c r="AV62" s="188">
        <v>0</v>
      </c>
      <c r="AW62" s="188">
        <v>0</v>
      </c>
      <c r="AX62" s="188">
        <v>0</v>
      </c>
      <c r="AY62" s="188">
        <v>0</v>
      </c>
      <c r="AZ62" s="188">
        <v>2</v>
      </c>
      <c r="BA62" s="188">
        <v>7.6</v>
      </c>
      <c r="BC62" s="187"/>
      <c r="BD62" s="187"/>
      <c r="BF62" s="146"/>
      <c r="BG62" s="146"/>
      <c r="BH62" s="146"/>
      <c r="BI62" s="146"/>
      <c r="BJ62" s="146"/>
      <c r="BK62" s="146"/>
      <c r="BL62" s="146"/>
      <c r="BM62" s="146"/>
      <c r="BN62" s="146"/>
      <c r="BO62" s="146"/>
      <c r="BP62" s="146"/>
      <c r="BQ62" s="146"/>
      <c r="BR62" s="146"/>
      <c r="BS62" s="146"/>
      <c r="BT62" s="146"/>
      <c r="BU62" s="146"/>
      <c r="BV62" s="146"/>
      <c r="BW62" s="146"/>
      <c r="BX62" s="146"/>
      <c r="BY62" s="146"/>
    </row>
    <row r="63" spans="1:111" x14ac:dyDescent="0.3">
      <c r="A63" s="186"/>
      <c r="B63" s="186"/>
      <c r="C63" s="191"/>
      <c r="D63" s="191"/>
      <c r="E63" s="191"/>
      <c r="F63" s="191"/>
      <c r="G63" s="191"/>
      <c r="H63" s="191"/>
      <c r="I63" s="191"/>
      <c r="J63" s="191"/>
      <c r="K63" s="191"/>
      <c r="L63" s="191"/>
      <c r="M63" s="191"/>
      <c r="N63" s="186"/>
      <c r="Z63" s="188"/>
      <c r="AA63" s="188">
        <v>14</v>
      </c>
      <c r="AB63" s="188">
        <v>0</v>
      </c>
      <c r="AC63" s="188">
        <v>0</v>
      </c>
      <c r="AD63" s="188">
        <v>0</v>
      </c>
      <c r="AE63" s="188">
        <v>0</v>
      </c>
      <c r="AF63" s="188">
        <v>0</v>
      </c>
      <c r="AG63" s="188">
        <v>0</v>
      </c>
      <c r="AH63" s="188">
        <v>0</v>
      </c>
      <c r="AI63" s="188">
        <v>0</v>
      </c>
      <c r="AJ63" s="188">
        <v>0</v>
      </c>
      <c r="AK63" s="188">
        <v>0</v>
      </c>
      <c r="AL63" s="188">
        <v>0</v>
      </c>
      <c r="AM63" s="188">
        <v>0</v>
      </c>
      <c r="AN63" s="188">
        <v>0</v>
      </c>
      <c r="AO63" s="188">
        <v>0</v>
      </c>
      <c r="AP63" s="188">
        <v>0</v>
      </c>
      <c r="AQ63" s="188">
        <v>0</v>
      </c>
      <c r="AR63" s="188">
        <v>0</v>
      </c>
      <c r="AS63" s="188">
        <v>0</v>
      </c>
      <c r="AT63" s="188">
        <v>0</v>
      </c>
      <c r="AU63" s="188">
        <v>0</v>
      </c>
      <c r="AV63" s="188">
        <v>0</v>
      </c>
      <c r="AW63" s="188">
        <v>0</v>
      </c>
      <c r="AX63" s="188">
        <v>0</v>
      </c>
      <c r="AY63" s="188">
        <v>0</v>
      </c>
      <c r="AZ63" s="188">
        <v>0</v>
      </c>
      <c r="BA63" s="188">
        <v>0</v>
      </c>
      <c r="BC63" s="187"/>
      <c r="BD63" s="187"/>
      <c r="BF63" s="146"/>
      <c r="BG63" s="146"/>
      <c r="BH63" s="146"/>
      <c r="BI63" s="146"/>
      <c r="BJ63" s="146"/>
      <c r="BK63" s="146"/>
      <c r="BL63" s="146"/>
      <c r="BM63" s="146"/>
      <c r="BN63" s="146"/>
      <c r="BO63" s="146"/>
      <c r="BP63" s="146"/>
      <c r="BQ63" s="146"/>
      <c r="BR63" s="146"/>
      <c r="BS63" s="146"/>
      <c r="BT63" s="146"/>
      <c r="BU63" s="146"/>
      <c r="BV63" s="146"/>
      <c r="BW63" s="146"/>
      <c r="BX63" s="146"/>
      <c r="BY63" s="146"/>
    </row>
    <row r="64" spans="1:111" x14ac:dyDescent="0.3">
      <c r="A64" s="186"/>
      <c r="B64" s="186"/>
      <c r="C64" s="191"/>
      <c r="D64" s="191"/>
      <c r="E64" s="191"/>
      <c r="F64" s="191"/>
      <c r="G64" s="191"/>
      <c r="H64" s="191"/>
      <c r="I64" s="191"/>
      <c r="J64" s="191"/>
      <c r="K64" s="191"/>
      <c r="L64" s="191"/>
      <c r="M64" s="191"/>
      <c r="N64" s="186"/>
      <c r="Z64" s="188"/>
      <c r="AA64" s="188">
        <v>15</v>
      </c>
      <c r="AB64" s="188">
        <v>0</v>
      </c>
      <c r="AC64" s="188">
        <v>0</v>
      </c>
      <c r="AD64" s="188">
        <v>0</v>
      </c>
      <c r="AE64" s="188">
        <v>0</v>
      </c>
      <c r="AF64" s="188">
        <v>0</v>
      </c>
      <c r="AG64" s="188">
        <v>0</v>
      </c>
      <c r="AH64" s="188">
        <v>0</v>
      </c>
      <c r="AI64" s="188">
        <v>0</v>
      </c>
      <c r="AJ64" s="188">
        <v>2</v>
      </c>
      <c r="AK64" s="188">
        <v>100</v>
      </c>
      <c r="AL64" s="188">
        <v>7</v>
      </c>
      <c r="AM64" s="188">
        <v>56</v>
      </c>
      <c r="AN64" s="188">
        <v>3</v>
      </c>
      <c r="AO64" s="188">
        <v>100</v>
      </c>
      <c r="AP64" s="188">
        <v>5</v>
      </c>
      <c r="AQ64" s="188">
        <v>100</v>
      </c>
      <c r="AR64" s="188">
        <v>0</v>
      </c>
      <c r="AS64" s="188">
        <v>0</v>
      </c>
      <c r="AT64" s="188">
        <v>0</v>
      </c>
      <c r="AU64" s="188">
        <v>0</v>
      </c>
      <c r="AV64" s="188">
        <v>0</v>
      </c>
      <c r="AW64" s="188">
        <v>0</v>
      </c>
      <c r="AX64" s="188">
        <v>0</v>
      </c>
      <c r="AY64" s="188">
        <v>0</v>
      </c>
      <c r="AZ64" s="188">
        <v>17</v>
      </c>
      <c r="BA64" s="188">
        <v>75.099999999999994</v>
      </c>
      <c r="BC64" s="187"/>
      <c r="BD64" s="187"/>
      <c r="BF64" s="146"/>
      <c r="BG64" s="146"/>
      <c r="BH64" s="146"/>
      <c r="BI64" s="146"/>
      <c r="BJ64" s="146"/>
      <c r="BK64" s="146"/>
      <c r="BL64" s="146"/>
      <c r="BM64" s="146"/>
      <c r="BN64" s="146"/>
      <c r="BO64" s="146"/>
      <c r="BP64" s="146"/>
      <c r="BQ64" s="146"/>
      <c r="BR64" s="146"/>
      <c r="BS64" s="146"/>
      <c r="BT64" s="146"/>
      <c r="BU64" s="146"/>
      <c r="BV64" s="146"/>
      <c r="BW64" s="146"/>
      <c r="BX64" s="146"/>
      <c r="BY64" s="146"/>
    </row>
    <row r="65" spans="1:79" x14ac:dyDescent="0.3">
      <c r="A65" s="186"/>
      <c r="B65" s="186"/>
      <c r="C65" s="186"/>
      <c r="D65" s="186"/>
      <c r="E65" s="186"/>
      <c r="F65" s="186"/>
      <c r="G65" s="186"/>
      <c r="H65" s="186"/>
      <c r="I65" s="186"/>
      <c r="J65" s="186"/>
      <c r="K65" s="186"/>
      <c r="L65" s="186"/>
      <c r="M65" s="186"/>
      <c r="N65" s="186"/>
      <c r="Z65" s="188"/>
      <c r="AA65" s="188">
        <v>16</v>
      </c>
      <c r="AB65" s="188">
        <v>0</v>
      </c>
      <c r="AC65" s="188">
        <v>0</v>
      </c>
      <c r="AD65" s="188">
        <v>0</v>
      </c>
      <c r="AE65" s="188">
        <v>0</v>
      </c>
      <c r="AF65" s="188">
        <v>0</v>
      </c>
      <c r="AG65" s="188">
        <v>0</v>
      </c>
      <c r="AH65" s="188">
        <v>0</v>
      </c>
      <c r="AI65" s="188">
        <v>0</v>
      </c>
      <c r="AJ65" s="188">
        <v>2</v>
      </c>
      <c r="AK65" s="188">
        <v>100</v>
      </c>
      <c r="AL65" s="188">
        <v>7</v>
      </c>
      <c r="AM65" s="188">
        <v>56</v>
      </c>
      <c r="AN65" s="188">
        <v>3</v>
      </c>
      <c r="AO65" s="188">
        <v>100</v>
      </c>
      <c r="AP65" s="188">
        <v>5</v>
      </c>
      <c r="AQ65" s="188">
        <v>100</v>
      </c>
      <c r="AR65" s="188">
        <v>0</v>
      </c>
      <c r="AS65" s="188">
        <v>0</v>
      </c>
      <c r="AT65" s="188">
        <v>0</v>
      </c>
      <c r="AU65" s="188">
        <v>0</v>
      </c>
      <c r="AV65" s="188">
        <v>0</v>
      </c>
      <c r="AW65" s="188">
        <v>0</v>
      </c>
      <c r="AX65" s="188">
        <v>0</v>
      </c>
      <c r="AY65" s="188">
        <v>0</v>
      </c>
      <c r="AZ65" s="188">
        <v>17</v>
      </c>
      <c r="BA65" s="188">
        <v>75.099999999999994</v>
      </c>
      <c r="BC65" s="187"/>
      <c r="BD65" s="187"/>
      <c r="BF65" s="146"/>
      <c r="BG65" s="146"/>
      <c r="BH65" s="146"/>
      <c r="BI65" s="146"/>
      <c r="BJ65" s="146"/>
      <c r="BK65" s="146"/>
      <c r="BL65" s="146"/>
      <c r="BM65" s="146"/>
      <c r="BN65" s="146"/>
      <c r="BO65" s="146"/>
      <c r="BP65" s="146"/>
      <c r="BQ65" s="146"/>
      <c r="BR65" s="146"/>
      <c r="BS65" s="146"/>
      <c r="BT65" s="146"/>
      <c r="BU65" s="146"/>
      <c r="BV65" s="146"/>
      <c r="BW65" s="146"/>
      <c r="BX65" s="146"/>
      <c r="BY65" s="146"/>
    </row>
    <row r="66" spans="1:79" x14ac:dyDescent="0.3">
      <c r="A66" s="186"/>
      <c r="B66" s="186"/>
      <c r="C66" s="186"/>
      <c r="D66" s="186"/>
      <c r="E66" s="186"/>
      <c r="F66" s="186"/>
      <c r="G66" s="186"/>
      <c r="H66" s="186"/>
      <c r="I66" s="186"/>
      <c r="J66" s="186"/>
      <c r="K66" s="186"/>
      <c r="L66" s="186"/>
      <c r="M66" s="186"/>
      <c r="N66" s="186"/>
      <c r="Z66" s="188"/>
      <c r="AA66" s="188">
        <v>17</v>
      </c>
      <c r="AB66" s="188">
        <v>0</v>
      </c>
      <c r="AC66" s="188">
        <v>0</v>
      </c>
      <c r="AD66" s="188">
        <v>0</v>
      </c>
      <c r="AE66" s="188">
        <v>0</v>
      </c>
      <c r="AF66" s="188">
        <v>0</v>
      </c>
      <c r="AG66" s="188">
        <v>0</v>
      </c>
      <c r="AH66" s="188">
        <v>0</v>
      </c>
      <c r="AI66" s="188">
        <v>0</v>
      </c>
      <c r="AJ66" s="188">
        <v>2</v>
      </c>
      <c r="AK66" s="188">
        <v>100</v>
      </c>
      <c r="AL66" s="188">
        <v>11</v>
      </c>
      <c r="AM66" s="188">
        <v>86.5</v>
      </c>
      <c r="AN66" s="188">
        <v>3</v>
      </c>
      <c r="AO66" s="188">
        <v>100</v>
      </c>
      <c r="AP66" s="188">
        <v>5</v>
      </c>
      <c r="AQ66" s="188">
        <v>100</v>
      </c>
      <c r="AR66" s="188">
        <v>0</v>
      </c>
      <c r="AS66" s="188">
        <v>0</v>
      </c>
      <c r="AT66" s="188">
        <v>0</v>
      </c>
      <c r="AU66" s="188">
        <v>0</v>
      </c>
      <c r="AV66" s="188">
        <v>0</v>
      </c>
      <c r="AW66" s="188">
        <v>0</v>
      </c>
      <c r="AX66" s="188">
        <v>0</v>
      </c>
      <c r="AY66" s="188">
        <v>0</v>
      </c>
      <c r="AZ66" s="188">
        <v>22</v>
      </c>
      <c r="BA66" s="188">
        <v>92.4</v>
      </c>
      <c r="BC66" s="187"/>
      <c r="BD66" s="187"/>
      <c r="BF66" s="146"/>
      <c r="BG66" s="146"/>
      <c r="BH66" s="146"/>
      <c r="BI66" s="146"/>
      <c r="BJ66" s="146"/>
      <c r="BK66" s="146"/>
      <c r="BL66" s="146"/>
      <c r="BM66" s="146"/>
      <c r="BN66" s="146"/>
      <c r="BO66" s="146"/>
      <c r="BP66" s="146"/>
      <c r="BQ66" s="146"/>
      <c r="BR66" s="146"/>
      <c r="BS66" s="146"/>
      <c r="BT66" s="146"/>
      <c r="BU66" s="146"/>
      <c r="BV66" s="146"/>
      <c r="BW66" s="146"/>
      <c r="BX66" s="146"/>
      <c r="BY66" s="146"/>
    </row>
    <row r="67" spans="1:79" x14ac:dyDescent="0.3">
      <c r="A67" s="186"/>
      <c r="B67" s="186"/>
      <c r="C67" s="186"/>
      <c r="D67" s="186"/>
      <c r="E67" s="186"/>
      <c r="F67" s="186"/>
      <c r="G67" s="186"/>
      <c r="H67" s="186"/>
      <c r="I67" s="186"/>
      <c r="J67" s="186"/>
      <c r="K67" s="186"/>
      <c r="L67" s="186"/>
      <c r="M67" s="186"/>
      <c r="N67" s="186"/>
      <c r="Z67" s="188"/>
      <c r="AA67" s="188">
        <v>18</v>
      </c>
      <c r="AB67" s="188">
        <v>0</v>
      </c>
      <c r="AC67" s="188">
        <v>0</v>
      </c>
      <c r="AD67" s="188">
        <v>0</v>
      </c>
      <c r="AE67" s="188">
        <v>0</v>
      </c>
      <c r="AF67" s="188">
        <v>0</v>
      </c>
      <c r="AG67" s="188">
        <v>0</v>
      </c>
      <c r="AH67" s="188">
        <v>0</v>
      </c>
      <c r="AI67" s="188">
        <v>0</v>
      </c>
      <c r="AJ67" s="188">
        <v>2</v>
      </c>
      <c r="AK67" s="188">
        <v>100</v>
      </c>
      <c r="AL67" s="188">
        <v>11</v>
      </c>
      <c r="AM67" s="188">
        <v>86.5</v>
      </c>
      <c r="AN67" s="188">
        <v>3</v>
      </c>
      <c r="AO67" s="188">
        <v>100</v>
      </c>
      <c r="AP67" s="188">
        <v>5</v>
      </c>
      <c r="AQ67" s="188">
        <v>100</v>
      </c>
      <c r="AR67" s="188">
        <v>0</v>
      </c>
      <c r="AS67" s="188">
        <v>0</v>
      </c>
      <c r="AT67" s="188">
        <v>0</v>
      </c>
      <c r="AU67" s="188">
        <v>0</v>
      </c>
      <c r="AV67" s="188">
        <v>0</v>
      </c>
      <c r="AW67" s="188">
        <v>0</v>
      </c>
      <c r="AX67" s="188">
        <v>0</v>
      </c>
      <c r="AY67" s="188">
        <v>0</v>
      </c>
      <c r="AZ67" s="188">
        <v>22</v>
      </c>
      <c r="BA67" s="188">
        <v>92.4</v>
      </c>
      <c r="BC67" s="187"/>
      <c r="BD67" s="187"/>
      <c r="BF67" s="146"/>
      <c r="BG67" s="146"/>
      <c r="BH67" s="146"/>
      <c r="BI67" s="146"/>
      <c r="BJ67" s="146"/>
      <c r="BK67" s="146"/>
      <c r="BL67" s="146"/>
      <c r="BM67" s="146"/>
      <c r="BN67" s="146"/>
      <c r="BO67" s="146"/>
      <c r="BP67" s="146"/>
      <c r="BQ67" s="146"/>
      <c r="BR67" s="146"/>
      <c r="BS67" s="146"/>
      <c r="BT67" s="146"/>
      <c r="BU67" s="146"/>
      <c r="BV67" s="146"/>
      <c r="BW67" s="146"/>
      <c r="BX67" s="146"/>
      <c r="BY67" s="146"/>
    </row>
    <row r="68" spans="1:79" x14ac:dyDescent="0.3">
      <c r="A68" s="186"/>
      <c r="B68" s="186"/>
      <c r="C68" s="186"/>
      <c r="D68" s="186"/>
      <c r="E68" s="186"/>
      <c r="F68" s="186"/>
      <c r="G68" s="186"/>
      <c r="H68" s="186"/>
      <c r="I68" s="186"/>
      <c r="J68" s="186"/>
      <c r="K68" s="186"/>
      <c r="L68" s="186"/>
      <c r="M68" s="186"/>
      <c r="N68" s="186"/>
      <c r="Z68" s="188"/>
      <c r="AA68" s="188">
        <v>19</v>
      </c>
      <c r="AB68" s="188">
        <v>0</v>
      </c>
      <c r="AC68" s="188">
        <v>0</v>
      </c>
      <c r="AD68" s="188">
        <v>0</v>
      </c>
      <c r="AE68" s="188">
        <v>0</v>
      </c>
      <c r="AF68" s="188">
        <v>0</v>
      </c>
      <c r="AG68" s="188">
        <v>0</v>
      </c>
      <c r="AH68" s="188">
        <v>0</v>
      </c>
      <c r="AI68" s="188">
        <v>0</v>
      </c>
      <c r="AJ68" s="188">
        <v>2</v>
      </c>
      <c r="AK68" s="188">
        <v>100</v>
      </c>
      <c r="AL68" s="188">
        <v>11</v>
      </c>
      <c r="AM68" s="188">
        <v>86.5</v>
      </c>
      <c r="AN68" s="188">
        <v>3</v>
      </c>
      <c r="AO68" s="188">
        <v>100</v>
      </c>
      <c r="AP68" s="188">
        <v>5</v>
      </c>
      <c r="AQ68" s="188">
        <v>100</v>
      </c>
      <c r="AR68" s="188">
        <v>0</v>
      </c>
      <c r="AS68" s="188">
        <v>0</v>
      </c>
      <c r="AT68" s="188">
        <v>0</v>
      </c>
      <c r="AU68" s="188">
        <v>0</v>
      </c>
      <c r="AV68" s="188">
        <v>0</v>
      </c>
      <c r="AW68" s="188">
        <v>0</v>
      </c>
      <c r="AX68" s="188">
        <v>0</v>
      </c>
      <c r="AY68" s="188">
        <v>0</v>
      </c>
      <c r="AZ68" s="188">
        <v>22</v>
      </c>
      <c r="BA68" s="188">
        <v>92.4</v>
      </c>
      <c r="BC68" s="187"/>
      <c r="BD68" s="187"/>
      <c r="BF68" s="146"/>
      <c r="BG68" s="146"/>
      <c r="BH68" s="146"/>
      <c r="BI68" s="146"/>
      <c r="BJ68" s="146"/>
      <c r="BK68" s="146"/>
      <c r="BL68" s="146"/>
      <c r="BM68" s="146"/>
      <c r="BN68" s="146"/>
      <c r="BO68" s="146"/>
      <c r="BP68" s="146"/>
      <c r="BQ68" s="146"/>
      <c r="BR68" s="146"/>
      <c r="BS68" s="146"/>
      <c r="BT68" s="146"/>
      <c r="BU68" s="146"/>
      <c r="BV68" s="146"/>
      <c r="BW68" s="146"/>
      <c r="BX68" s="146"/>
      <c r="BY68" s="146"/>
    </row>
    <row r="69" spans="1:79" x14ac:dyDescent="0.3">
      <c r="A69" s="186"/>
      <c r="B69" s="186"/>
      <c r="C69" s="186"/>
      <c r="D69" s="186"/>
      <c r="E69" s="186"/>
      <c r="F69" s="186"/>
      <c r="G69" s="186"/>
      <c r="H69" s="186"/>
      <c r="I69" s="186"/>
      <c r="J69" s="186"/>
      <c r="K69" s="186"/>
      <c r="L69" s="186"/>
      <c r="M69" s="186"/>
      <c r="N69" s="186"/>
      <c r="Z69" s="188"/>
      <c r="AA69" s="188">
        <v>20</v>
      </c>
      <c r="AB69" s="188">
        <v>0</v>
      </c>
      <c r="AC69" s="188">
        <v>0</v>
      </c>
      <c r="AD69" s="188">
        <v>0</v>
      </c>
      <c r="AE69" s="188">
        <v>0</v>
      </c>
      <c r="AF69" s="188">
        <v>0</v>
      </c>
      <c r="AG69" s="188">
        <v>0</v>
      </c>
      <c r="AH69" s="188">
        <v>0</v>
      </c>
      <c r="AI69" s="188">
        <v>0</v>
      </c>
      <c r="AJ69" s="188">
        <v>2</v>
      </c>
      <c r="AK69" s="188">
        <v>100</v>
      </c>
      <c r="AL69" s="188">
        <v>11</v>
      </c>
      <c r="AM69" s="188">
        <v>86.5</v>
      </c>
      <c r="AN69" s="188">
        <v>3</v>
      </c>
      <c r="AO69" s="188">
        <v>100</v>
      </c>
      <c r="AP69" s="188">
        <v>5</v>
      </c>
      <c r="AQ69" s="188">
        <v>100</v>
      </c>
      <c r="AR69" s="188">
        <v>0</v>
      </c>
      <c r="AS69" s="188">
        <v>0</v>
      </c>
      <c r="AT69" s="188">
        <v>0</v>
      </c>
      <c r="AU69" s="188">
        <v>0</v>
      </c>
      <c r="AV69" s="188">
        <v>0</v>
      </c>
      <c r="AW69" s="188">
        <v>0</v>
      </c>
      <c r="AX69" s="188">
        <v>0</v>
      </c>
      <c r="AY69" s="188">
        <v>0</v>
      </c>
      <c r="AZ69" s="188">
        <v>22</v>
      </c>
      <c r="BA69" s="188">
        <v>92.4</v>
      </c>
      <c r="BC69" s="187"/>
      <c r="BD69" s="187"/>
      <c r="BF69" s="146"/>
      <c r="BG69" s="146"/>
      <c r="BH69" s="146"/>
      <c r="BI69" s="146"/>
      <c r="BJ69" s="146"/>
      <c r="BK69" s="146"/>
      <c r="BL69" s="146"/>
      <c r="BM69" s="146"/>
      <c r="BN69" s="146"/>
      <c r="BO69" s="146"/>
      <c r="BP69" s="146"/>
      <c r="BQ69" s="146"/>
      <c r="BR69" s="146"/>
      <c r="BS69" s="146"/>
      <c r="BT69" s="146"/>
      <c r="BU69" s="146"/>
      <c r="BV69" s="146"/>
      <c r="BW69" s="146"/>
      <c r="BX69" s="146"/>
      <c r="BY69" s="146"/>
    </row>
    <row r="70" spans="1:79" x14ac:dyDescent="0.3">
      <c r="A70" s="186"/>
      <c r="B70" s="186"/>
      <c r="C70" s="186"/>
      <c r="D70" s="186"/>
      <c r="E70" s="186"/>
      <c r="F70" s="186"/>
      <c r="G70" s="186"/>
      <c r="H70" s="186"/>
      <c r="I70" s="186"/>
      <c r="J70" s="186"/>
      <c r="K70" s="186"/>
      <c r="L70" s="186"/>
      <c r="M70" s="186"/>
      <c r="N70" s="186"/>
      <c r="Z70" s="188"/>
      <c r="AA70" s="188">
        <v>21</v>
      </c>
      <c r="AB70" s="188">
        <v>0</v>
      </c>
      <c r="AC70" s="188">
        <v>0</v>
      </c>
      <c r="AD70" s="188">
        <v>0</v>
      </c>
      <c r="AE70" s="188">
        <v>0</v>
      </c>
      <c r="AF70" s="188">
        <v>0</v>
      </c>
      <c r="AG70" s="188">
        <v>0</v>
      </c>
      <c r="AH70" s="188">
        <v>0</v>
      </c>
      <c r="AI70" s="188">
        <v>0</v>
      </c>
      <c r="AJ70" s="188">
        <v>2</v>
      </c>
      <c r="AK70" s="188">
        <v>100</v>
      </c>
      <c r="AL70" s="188">
        <v>11</v>
      </c>
      <c r="AM70" s="188">
        <v>86.5</v>
      </c>
      <c r="AN70" s="188">
        <v>3</v>
      </c>
      <c r="AO70" s="188">
        <v>100</v>
      </c>
      <c r="AP70" s="188">
        <v>5</v>
      </c>
      <c r="AQ70" s="188">
        <v>100</v>
      </c>
      <c r="AR70" s="188">
        <v>0</v>
      </c>
      <c r="AS70" s="188">
        <v>0</v>
      </c>
      <c r="AT70" s="188">
        <v>0</v>
      </c>
      <c r="AU70" s="188">
        <v>0</v>
      </c>
      <c r="AV70" s="188">
        <v>0</v>
      </c>
      <c r="AW70" s="188">
        <v>0</v>
      </c>
      <c r="AX70" s="188">
        <v>0</v>
      </c>
      <c r="AY70" s="188">
        <v>0</v>
      </c>
      <c r="AZ70" s="188">
        <v>22</v>
      </c>
      <c r="BA70" s="188">
        <v>92.4</v>
      </c>
      <c r="BC70" s="187"/>
      <c r="BD70" s="187"/>
      <c r="BF70" s="146"/>
      <c r="BG70" s="146"/>
      <c r="BH70" s="146"/>
      <c r="BI70" s="146"/>
      <c r="BJ70" s="146"/>
      <c r="BK70" s="146"/>
      <c r="BL70" s="146"/>
      <c r="BM70" s="146"/>
      <c r="BN70" s="146"/>
      <c r="BO70" s="146"/>
      <c r="BP70" s="146"/>
      <c r="BQ70" s="146"/>
      <c r="BR70" s="146"/>
      <c r="BS70" s="146"/>
      <c r="BT70" s="146"/>
      <c r="BU70" s="146"/>
      <c r="BV70" s="146"/>
      <c r="BW70" s="146"/>
      <c r="BX70" s="146"/>
      <c r="BY70" s="146"/>
    </row>
    <row r="71" spans="1:79" x14ac:dyDescent="0.3">
      <c r="A71" s="186"/>
      <c r="B71" s="186"/>
      <c r="C71" s="186"/>
      <c r="D71" s="186"/>
      <c r="E71" s="186"/>
      <c r="F71" s="186"/>
      <c r="G71" s="186"/>
      <c r="H71" s="186"/>
      <c r="I71" s="186"/>
      <c r="J71" s="186"/>
      <c r="K71" s="186"/>
      <c r="L71" s="186"/>
      <c r="M71" s="186"/>
      <c r="N71" s="186"/>
      <c r="Z71" s="188"/>
      <c r="AA71" s="188">
        <v>22</v>
      </c>
      <c r="AB71" s="188">
        <v>0</v>
      </c>
      <c r="AC71" s="188">
        <v>0</v>
      </c>
      <c r="AD71" s="188">
        <v>0</v>
      </c>
      <c r="AE71" s="188">
        <v>0</v>
      </c>
      <c r="AF71" s="188">
        <v>0</v>
      </c>
      <c r="AG71" s="188">
        <v>0</v>
      </c>
      <c r="AH71" s="188">
        <v>0</v>
      </c>
      <c r="AI71" s="188">
        <v>0</v>
      </c>
      <c r="AJ71" s="188">
        <v>2</v>
      </c>
      <c r="AK71" s="188">
        <v>100</v>
      </c>
      <c r="AL71" s="188">
        <v>11</v>
      </c>
      <c r="AM71" s="188">
        <v>86.5</v>
      </c>
      <c r="AN71" s="188">
        <v>3</v>
      </c>
      <c r="AO71" s="188">
        <v>100</v>
      </c>
      <c r="AP71" s="188">
        <v>5</v>
      </c>
      <c r="AQ71" s="188">
        <v>100</v>
      </c>
      <c r="AR71" s="188">
        <v>0</v>
      </c>
      <c r="AS71" s="188">
        <v>0</v>
      </c>
      <c r="AT71" s="188">
        <v>0</v>
      </c>
      <c r="AU71" s="188">
        <v>0</v>
      </c>
      <c r="AV71" s="188">
        <v>0</v>
      </c>
      <c r="AW71" s="188">
        <v>0</v>
      </c>
      <c r="AX71" s="188">
        <v>0</v>
      </c>
      <c r="AY71" s="188">
        <v>0</v>
      </c>
      <c r="AZ71" s="188">
        <v>22</v>
      </c>
      <c r="BA71" s="188">
        <v>92.4</v>
      </c>
      <c r="BC71" s="187"/>
      <c r="BD71" s="187"/>
      <c r="BF71" s="146"/>
      <c r="BG71" s="146"/>
      <c r="BH71" s="146"/>
      <c r="BI71" s="146"/>
      <c r="BJ71" s="146"/>
      <c r="BK71" s="146"/>
      <c r="BL71" s="146"/>
      <c r="BM71" s="146"/>
      <c r="BN71" s="146"/>
      <c r="BO71" s="146"/>
      <c r="BP71" s="146"/>
      <c r="BQ71" s="146"/>
      <c r="BR71" s="146"/>
      <c r="BS71" s="146"/>
      <c r="BT71" s="146"/>
      <c r="BU71" s="146"/>
      <c r="BV71" s="146"/>
      <c r="BW71" s="146"/>
      <c r="BX71" s="146"/>
      <c r="BY71" s="146"/>
    </row>
    <row r="72" spans="1:79" x14ac:dyDescent="0.3">
      <c r="A72" s="186"/>
      <c r="B72" s="186"/>
      <c r="C72" s="186"/>
      <c r="D72" s="186"/>
      <c r="E72" s="186"/>
      <c r="F72" s="186"/>
      <c r="G72" s="186"/>
      <c r="H72" s="186"/>
      <c r="I72" s="186"/>
      <c r="J72" s="186"/>
      <c r="K72" s="186"/>
      <c r="L72" s="186"/>
      <c r="M72" s="186"/>
      <c r="N72" s="186"/>
      <c r="Z72" s="188"/>
      <c r="AA72" s="188">
        <v>23</v>
      </c>
      <c r="AB72" s="188">
        <v>0</v>
      </c>
      <c r="AC72" s="188">
        <v>0</v>
      </c>
      <c r="AD72" s="188">
        <v>0</v>
      </c>
      <c r="AE72" s="188">
        <v>0</v>
      </c>
      <c r="AF72" s="188">
        <v>0</v>
      </c>
      <c r="AG72" s="188">
        <v>0</v>
      </c>
      <c r="AH72" s="188">
        <v>0</v>
      </c>
      <c r="AI72" s="188">
        <v>0</v>
      </c>
      <c r="AJ72" s="188">
        <v>2</v>
      </c>
      <c r="AK72" s="188">
        <v>100</v>
      </c>
      <c r="AL72" s="188">
        <v>11</v>
      </c>
      <c r="AM72" s="188">
        <v>86.5</v>
      </c>
      <c r="AN72" s="188">
        <v>3</v>
      </c>
      <c r="AO72" s="188">
        <v>100</v>
      </c>
      <c r="AP72" s="188">
        <v>5</v>
      </c>
      <c r="AQ72" s="188">
        <v>100</v>
      </c>
      <c r="AR72" s="188">
        <v>0</v>
      </c>
      <c r="AS72" s="188">
        <v>0</v>
      </c>
      <c r="AT72" s="188">
        <v>0</v>
      </c>
      <c r="AU72" s="188">
        <v>0</v>
      </c>
      <c r="AV72" s="188">
        <v>0</v>
      </c>
      <c r="AW72" s="188">
        <v>0</v>
      </c>
      <c r="AX72" s="188">
        <v>0</v>
      </c>
      <c r="AY72" s="188">
        <v>0</v>
      </c>
      <c r="AZ72" s="188">
        <v>22</v>
      </c>
      <c r="BA72" s="188">
        <v>92.4</v>
      </c>
      <c r="BC72" s="187"/>
      <c r="BD72" s="187"/>
      <c r="BF72" s="146"/>
      <c r="BG72" s="146"/>
      <c r="BH72" s="146"/>
      <c r="BI72" s="146"/>
      <c r="BJ72" s="146"/>
      <c r="BK72" s="146"/>
      <c r="BL72" s="146"/>
      <c r="BM72" s="146"/>
      <c r="BN72" s="146"/>
      <c r="BO72" s="146"/>
      <c r="BP72" s="146"/>
      <c r="BQ72" s="146"/>
      <c r="BR72" s="146"/>
      <c r="BS72" s="146"/>
      <c r="BT72" s="146"/>
      <c r="BU72" s="146"/>
      <c r="BV72" s="146"/>
      <c r="BW72" s="146"/>
      <c r="BX72" s="146"/>
      <c r="BY72" s="146"/>
    </row>
    <row r="73" spans="1:79" x14ac:dyDescent="0.3">
      <c r="A73" s="186"/>
      <c r="B73" s="186"/>
      <c r="C73" s="186"/>
      <c r="D73" s="186"/>
      <c r="E73" s="186"/>
      <c r="F73" s="186"/>
      <c r="G73" s="186"/>
      <c r="H73" s="186"/>
      <c r="I73" s="186"/>
      <c r="J73" s="186"/>
      <c r="K73" s="186"/>
      <c r="L73" s="186"/>
      <c r="M73" s="186"/>
      <c r="N73" s="186"/>
      <c r="Z73" s="188"/>
      <c r="AA73" s="188">
        <v>24</v>
      </c>
      <c r="AB73" s="188">
        <v>0</v>
      </c>
      <c r="AC73" s="188">
        <v>0</v>
      </c>
      <c r="AD73" s="188">
        <v>0</v>
      </c>
      <c r="AE73" s="188">
        <v>0</v>
      </c>
      <c r="AF73" s="188">
        <v>0</v>
      </c>
      <c r="AG73" s="188">
        <v>0</v>
      </c>
      <c r="AH73" s="188">
        <v>0</v>
      </c>
      <c r="AI73" s="188">
        <v>0</v>
      </c>
      <c r="AJ73" s="188">
        <v>2</v>
      </c>
      <c r="AK73" s="188">
        <v>100</v>
      </c>
      <c r="AL73" s="188">
        <v>11</v>
      </c>
      <c r="AM73" s="188">
        <v>86.5</v>
      </c>
      <c r="AN73" s="188">
        <v>3</v>
      </c>
      <c r="AO73" s="188">
        <v>100</v>
      </c>
      <c r="AP73" s="188">
        <v>5</v>
      </c>
      <c r="AQ73" s="188">
        <v>100</v>
      </c>
      <c r="AR73" s="188">
        <v>0</v>
      </c>
      <c r="AS73" s="188">
        <v>0</v>
      </c>
      <c r="AT73" s="188">
        <v>0</v>
      </c>
      <c r="AU73" s="188">
        <v>0</v>
      </c>
      <c r="AV73" s="188">
        <v>0</v>
      </c>
      <c r="AW73" s="188">
        <v>0</v>
      </c>
      <c r="AX73" s="188">
        <v>0</v>
      </c>
      <c r="AY73" s="188">
        <v>0</v>
      </c>
      <c r="AZ73" s="188">
        <v>22</v>
      </c>
      <c r="BA73" s="188">
        <v>92.4</v>
      </c>
      <c r="BC73" s="187"/>
      <c r="BD73" s="187"/>
      <c r="BF73" s="146"/>
      <c r="BG73" s="146"/>
      <c r="BH73" s="146"/>
      <c r="BI73" s="146"/>
      <c r="BJ73" s="146"/>
      <c r="BK73" s="146"/>
      <c r="BL73" s="146"/>
      <c r="BM73" s="146"/>
      <c r="BN73" s="146"/>
      <c r="BO73" s="146"/>
      <c r="BP73" s="146"/>
      <c r="BQ73" s="146"/>
      <c r="BR73" s="146"/>
      <c r="BS73" s="146"/>
      <c r="BT73" s="146"/>
      <c r="BU73" s="146"/>
      <c r="BV73" s="146"/>
      <c r="BW73" s="146"/>
      <c r="BX73" s="146"/>
      <c r="BY73" s="146"/>
    </row>
    <row r="74" spans="1:79" x14ac:dyDescent="0.3">
      <c r="A74" s="186"/>
      <c r="B74" s="186"/>
      <c r="C74" s="186"/>
      <c r="D74" s="186"/>
      <c r="E74" s="186"/>
      <c r="F74" s="186"/>
      <c r="G74" s="186"/>
      <c r="H74" s="186"/>
      <c r="I74" s="186"/>
      <c r="J74" s="186"/>
      <c r="K74" s="186"/>
      <c r="L74" s="186"/>
      <c r="M74" s="186"/>
      <c r="N74" s="186"/>
      <c r="Z74" s="188"/>
      <c r="AA74" s="188">
        <v>25</v>
      </c>
      <c r="AB74" s="188">
        <v>0</v>
      </c>
      <c r="AC74" s="188">
        <v>0</v>
      </c>
      <c r="AD74" s="188">
        <v>0</v>
      </c>
      <c r="AE74" s="188">
        <v>0</v>
      </c>
      <c r="AF74" s="188">
        <v>0</v>
      </c>
      <c r="AG74" s="188">
        <v>0</v>
      </c>
      <c r="AH74" s="188">
        <v>0</v>
      </c>
      <c r="AI74" s="188">
        <v>0</v>
      </c>
      <c r="AJ74" s="188">
        <v>2</v>
      </c>
      <c r="AK74" s="188">
        <v>100</v>
      </c>
      <c r="AL74" s="188">
        <v>11</v>
      </c>
      <c r="AM74" s="188">
        <v>86.5</v>
      </c>
      <c r="AN74" s="188">
        <v>3</v>
      </c>
      <c r="AO74" s="188">
        <v>100</v>
      </c>
      <c r="AP74" s="188">
        <v>5</v>
      </c>
      <c r="AQ74" s="188">
        <v>100</v>
      </c>
      <c r="AR74" s="188">
        <v>0</v>
      </c>
      <c r="AS74" s="188">
        <v>0</v>
      </c>
      <c r="AT74" s="188">
        <v>0</v>
      </c>
      <c r="AU74" s="188">
        <v>0</v>
      </c>
      <c r="AV74" s="188">
        <v>0</v>
      </c>
      <c r="AW74" s="188">
        <v>0</v>
      </c>
      <c r="AX74" s="188">
        <v>0</v>
      </c>
      <c r="AY74" s="188">
        <v>0</v>
      </c>
      <c r="AZ74" s="188">
        <v>22</v>
      </c>
      <c r="BA74" s="188">
        <v>92.4</v>
      </c>
      <c r="BC74" s="187"/>
      <c r="BD74" s="187"/>
      <c r="BF74" s="146"/>
      <c r="BG74" s="146"/>
      <c r="BH74" s="146"/>
      <c r="BI74" s="146"/>
      <c r="BJ74" s="146"/>
      <c r="BK74" s="146"/>
      <c r="BL74" s="146"/>
      <c r="BM74" s="146"/>
      <c r="BN74" s="146"/>
      <c r="BO74" s="146"/>
      <c r="BP74" s="146"/>
      <c r="BQ74" s="146"/>
      <c r="BR74" s="146"/>
      <c r="BS74" s="146"/>
      <c r="BT74" s="146"/>
      <c r="BU74" s="146"/>
      <c r="BV74" s="146"/>
      <c r="BW74" s="146"/>
      <c r="BX74" s="146"/>
      <c r="BY74" s="146"/>
    </row>
    <row r="75" spans="1:79" x14ac:dyDescent="0.3">
      <c r="Z75" s="189" t="s">
        <v>65</v>
      </c>
    </row>
    <row r="76" spans="1:79" x14ac:dyDescent="0.3">
      <c r="Z76" s="11" t="s">
        <v>72</v>
      </c>
      <c r="AB76" s="145">
        <v>1</v>
      </c>
      <c r="AC76" s="145"/>
      <c r="AD76" s="145">
        <v>2</v>
      </c>
      <c r="AE76" s="145"/>
      <c r="AF76" s="145">
        <v>3</v>
      </c>
      <c r="AH76" s="145">
        <v>4</v>
      </c>
      <c r="AI76" s="145"/>
      <c r="AJ76">
        <v>5</v>
      </c>
      <c r="AL76">
        <v>6</v>
      </c>
      <c r="AN76">
        <v>7</v>
      </c>
      <c r="AP76">
        <v>8</v>
      </c>
      <c r="AR76">
        <v>9</v>
      </c>
      <c r="AT76">
        <v>10</v>
      </c>
      <c r="AV76">
        <v>11</v>
      </c>
      <c r="AX76">
        <v>12</v>
      </c>
    </row>
    <row r="77" spans="1:79" s="191" customFormat="1" x14ac:dyDescent="0.3">
      <c r="B77" s="36"/>
      <c r="C77" s="36"/>
      <c r="D77" s="36"/>
      <c r="E77" s="36"/>
      <c r="F77" s="36"/>
      <c r="G77" s="36"/>
      <c r="H77" s="36"/>
      <c r="I77" s="36"/>
      <c r="J77" s="36"/>
      <c r="K77" s="36"/>
      <c r="L77" s="36"/>
      <c r="M77" s="36"/>
      <c r="O77" s="195"/>
      <c r="P77" s="195"/>
      <c r="Q77" s="195"/>
      <c r="R77" s="195"/>
      <c r="S77" s="195"/>
      <c r="T77" s="195"/>
      <c r="U77" s="195"/>
      <c r="V77" s="195"/>
      <c r="W77" s="195"/>
      <c r="X77" s="195"/>
      <c r="Z77" s="11"/>
      <c r="AA77" s="190" t="s">
        <v>89</v>
      </c>
      <c r="AB77" s="191">
        <v>0</v>
      </c>
      <c r="AD77" s="191">
        <v>1</v>
      </c>
      <c r="AF77" s="191">
        <v>7</v>
      </c>
      <c r="AH77" s="191">
        <v>0</v>
      </c>
      <c r="AJ77" s="191">
        <v>7</v>
      </c>
      <c r="AL77" s="191">
        <v>33</v>
      </c>
      <c r="AN77" s="191">
        <v>35</v>
      </c>
      <c r="AP77" s="191">
        <v>53</v>
      </c>
      <c r="AR77" s="191">
        <v>14</v>
      </c>
      <c r="AT77" s="191">
        <v>11</v>
      </c>
      <c r="AV77" s="191">
        <v>3</v>
      </c>
      <c r="AX77" s="191">
        <v>1</v>
      </c>
    </row>
    <row r="78" spans="1:79" x14ac:dyDescent="0.3">
      <c r="Z78" s="189" t="s">
        <v>55</v>
      </c>
      <c r="AA78" s="189" t="s">
        <v>49</v>
      </c>
      <c r="AB78" s="189">
        <v>0</v>
      </c>
      <c r="AC78" s="189">
        <v>0</v>
      </c>
      <c r="AD78" s="189">
        <v>2</v>
      </c>
      <c r="AE78" s="189">
        <v>100</v>
      </c>
      <c r="AF78" s="189">
        <v>9</v>
      </c>
      <c r="AG78" s="189">
        <v>100</v>
      </c>
      <c r="AH78" s="189">
        <v>0</v>
      </c>
      <c r="AI78" s="189">
        <v>0</v>
      </c>
      <c r="AJ78" s="189">
        <v>6</v>
      </c>
      <c r="AK78" s="189">
        <v>100</v>
      </c>
      <c r="AL78" s="189">
        <v>51</v>
      </c>
      <c r="AM78" s="189">
        <v>100</v>
      </c>
      <c r="AN78" s="189">
        <v>51</v>
      </c>
      <c r="AO78" s="189">
        <v>100</v>
      </c>
      <c r="AP78" s="189">
        <v>85</v>
      </c>
      <c r="AQ78" s="189">
        <v>100</v>
      </c>
      <c r="AR78" s="189">
        <v>29</v>
      </c>
      <c r="AS78" s="189">
        <v>100</v>
      </c>
      <c r="AT78" s="189">
        <v>14</v>
      </c>
      <c r="AU78" s="189">
        <v>100</v>
      </c>
      <c r="AV78" s="189">
        <v>4</v>
      </c>
      <c r="AW78" s="189">
        <v>100</v>
      </c>
      <c r="AX78" s="189">
        <v>1</v>
      </c>
      <c r="AY78" s="189">
        <v>100</v>
      </c>
      <c r="AZ78" s="189">
        <v>255</v>
      </c>
      <c r="BA78" s="189">
        <v>100</v>
      </c>
      <c r="BC78" s="145"/>
      <c r="BF78" s="147"/>
      <c r="BG78" s="147"/>
      <c r="BH78" s="147"/>
      <c r="BI78" s="147"/>
      <c r="BJ78" s="147"/>
      <c r="BK78" s="147"/>
      <c r="BL78" s="147"/>
      <c r="BM78" s="147"/>
      <c r="BN78" s="147"/>
      <c r="BO78" s="147"/>
      <c r="BP78" s="147"/>
      <c r="BQ78" s="147"/>
      <c r="BR78" s="147"/>
      <c r="BS78" s="147"/>
      <c r="BT78" s="147"/>
      <c r="BU78" s="147"/>
      <c r="BV78" s="147"/>
      <c r="BW78" s="147"/>
      <c r="BX78" s="147"/>
      <c r="BY78" s="147"/>
      <c r="CA78" s="147"/>
    </row>
    <row r="79" spans="1:79" x14ac:dyDescent="0.3">
      <c r="Z79" s="189"/>
      <c r="AA79" s="189" t="s">
        <v>63</v>
      </c>
      <c r="AB79" s="189">
        <v>0</v>
      </c>
      <c r="AC79" s="189">
        <v>0</v>
      </c>
      <c r="AD79" s="189">
        <v>2</v>
      </c>
      <c r="AE79" s="189">
        <v>100</v>
      </c>
      <c r="AF79" s="189">
        <v>9</v>
      </c>
      <c r="AG79" s="189">
        <v>100</v>
      </c>
      <c r="AH79" s="189">
        <v>0</v>
      </c>
      <c r="AI79" s="189">
        <v>0</v>
      </c>
      <c r="AJ79" s="189">
        <v>4</v>
      </c>
      <c r="AK79" s="189">
        <v>61.6</v>
      </c>
      <c r="AL79" s="189">
        <v>38</v>
      </c>
      <c r="AM79" s="189">
        <v>74.5</v>
      </c>
      <c r="AN79" s="189">
        <v>48</v>
      </c>
      <c r="AO79" s="189">
        <v>95.2</v>
      </c>
      <c r="AP79" s="189">
        <v>61</v>
      </c>
      <c r="AQ79" s="189">
        <v>71.400000000000006</v>
      </c>
      <c r="AR79" s="189">
        <v>13</v>
      </c>
      <c r="AS79" s="189">
        <v>44.2</v>
      </c>
      <c r="AT79" s="189">
        <v>12</v>
      </c>
      <c r="AU79" s="189">
        <v>83.9</v>
      </c>
      <c r="AV79" s="189">
        <v>4</v>
      </c>
      <c r="AW79" s="189">
        <v>100</v>
      </c>
      <c r="AX79" s="189">
        <v>1</v>
      </c>
      <c r="AY79" s="189">
        <v>100</v>
      </c>
      <c r="AZ79" s="189">
        <v>194</v>
      </c>
      <c r="BA79" s="189">
        <v>76</v>
      </c>
      <c r="BC79" s="145"/>
      <c r="BF79" s="146"/>
      <c r="BG79" s="147"/>
      <c r="BH79" s="147"/>
      <c r="BI79" s="147"/>
      <c r="BJ79" s="147"/>
      <c r="BK79" s="147"/>
      <c r="BL79" s="147"/>
      <c r="BM79" s="147"/>
      <c r="BN79" s="147"/>
      <c r="BO79" s="147"/>
      <c r="BP79" s="147"/>
      <c r="BQ79" s="147"/>
      <c r="BR79" s="147"/>
      <c r="BS79" s="147"/>
      <c r="BT79" s="147"/>
      <c r="BU79" s="147"/>
      <c r="BV79" s="147"/>
      <c r="BW79" s="147"/>
      <c r="BX79" s="147"/>
      <c r="BY79" s="147"/>
      <c r="CA79" s="147"/>
    </row>
    <row r="80" spans="1:79" x14ac:dyDescent="0.3">
      <c r="Z80" s="189"/>
      <c r="AA80" s="189">
        <v>14</v>
      </c>
      <c r="AB80" s="189">
        <v>0</v>
      </c>
      <c r="AC80" s="189">
        <v>0</v>
      </c>
      <c r="AD80" s="189">
        <v>0</v>
      </c>
      <c r="AE80" s="189">
        <v>0</v>
      </c>
      <c r="AF80" s="189">
        <v>0</v>
      </c>
      <c r="AG80" s="189">
        <v>0</v>
      </c>
      <c r="AH80" s="189">
        <v>0</v>
      </c>
      <c r="AI80" s="189">
        <v>0</v>
      </c>
      <c r="AJ80" s="189">
        <v>0</v>
      </c>
      <c r="AK80" s="189">
        <v>0</v>
      </c>
      <c r="AL80" s="189">
        <v>0</v>
      </c>
      <c r="AM80" s="189">
        <v>0</v>
      </c>
      <c r="AN80" s="189">
        <v>0</v>
      </c>
      <c r="AO80" s="189">
        <v>0</v>
      </c>
      <c r="AP80" s="189">
        <v>0</v>
      </c>
      <c r="AQ80" s="189">
        <v>0</v>
      </c>
      <c r="AR80" s="189">
        <v>0</v>
      </c>
      <c r="AS80" s="189">
        <v>0</v>
      </c>
      <c r="AT80" s="189">
        <v>0</v>
      </c>
      <c r="AU80" s="189">
        <v>0</v>
      </c>
      <c r="AV80" s="189">
        <v>0</v>
      </c>
      <c r="AW80" s="189">
        <v>0</v>
      </c>
      <c r="AX80" s="189">
        <v>0</v>
      </c>
      <c r="AY80" s="189">
        <v>0</v>
      </c>
      <c r="AZ80" s="189">
        <v>0</v>
      </c>
      <c r="BA80" s="189">
        <v>0</v>
      </c>
      <c r="BC80" s="145"/>
      <c r="BF80" s="146"/>
      <c r="BG80" s="147"/>
      <c r="BH80" s="147"/>
      <c r="BI80" s="147"/>
      <c r="BJ80" s="147"/>
      <c r="BK80" s="147"/>
      <c r="BL80" s="147"/>
      <c r="BM80" s="147"/>
      <c r="BN80" s="147"/>
      <c r="BO80" s="147"/>
      <c r="BP80" s="147"/>
      <c r="BQ80" s="147"/>
      <c r="BR80" s="147"/>
      <c r="BS80" s="147"/>
      <c r="BT80" s="147"/>
      <c r="BU80" s="147"/>
      <c r="BV80" s="147"/>
      <c r="BW80" s="147"/>
      <c r="BX80" s="147"/>
      <c r="BY80" s="147"/>
    </row>
    <row r="81" spans="26:79" x14ac:dyDescent="0.3">
      <c r="Z81" s="189"/>
      <c r="AA81" s="189">
        <v>15</v>
      </c>
      <c r="AB81" s="189">
        <v>0</v>
      </c>
      <c r="AC81" s="189">
        <v>0</v>
      </c>
      <c r="AD81" s="189">
        <v>0</v>
      </c>
      <c r="AE81" s="189">
        <v>0</v>
      </c>
      <c r="AF81" s="189">
        <v>0</v>
      </c>
      <c r="AG81" s="189">
        <v>0</v>
      </c>
      <c r="AH81" s="189">
        <v>0</v>
      </c>
      <c r="AI81" s="189">
        <v>0</v>
      </c>
      <c r="AJ81" s="189">
        <v>2</v>
      </c>
      <c r="AK81" s="189">
        <v>38.4</v>
      </c>
      <c r="AL81" s="189">
        <v>3</v>
      </c>
      <c r="AM81" s="189">
        <v>5.4</v>
      </c>
      <c r="AN81" s="189">
        <v>2</v>
      </c>
      <c r="AO81" s="189">
        <v>4.8</v>
      </c>
      <c r="AP81" s="189">
        <v>14</v>
      </c>
      <c r="AQ81" s="189">
        <v>16.899999999999999</v>
      </c>
      <c r="AR81" s="189">
        <v>3</v>
      </c>
      <c r="AS81" s="189">
        <v>9.4</v>
      </c>
      <c r="AT81" s="189">
        <v>2</v>
      </c>
      <c r="AU81" s="189">
        <v>16.100000000000001</v>
      </c>
      <c r="AV81" s="189">
        <v>0</v>
      </c>
      <c r="AW81" s="189">
        <v>0</v>
      </c>
      <c r="AX81" s="189">
        <v>0</v>
      </c>
      <c r="AY81" s="189">
        <v>0</v>
      </c>
      <c r="AZ81" s="189">
        <v>27</v>
      </c>
      <c r="BA81" s="189">
        <v>10.7</v>
      </c>
      <c r="BC81" s="145"/>
      <c r="BF81" s="146"/>
      <c r="BG81" s="147"/>
      <c r="BH81" s="147"/>
      <c r="BI81" s="147"/>
      <c r="BJ81" s="147"/>
      <c r="BK81" s="147"/>
      <c r="BL81" s="147"/>
      <c r="BM81" s="147"/>
      <c r="BN81" s="147"/>
      <c r="BO81" s="147"/>
      <c r="BP81" s="147"/>
      <c r="BQ81" s="147"/>
      <c r="BR81" s="147"/>
      <c r="BS81" s="147"/>
      <c r="BT81" s="147"/>
      <c r="BU81" s="147"/>
      <c r="BV81" s="147"/>
      <c r="BW81" s="147"/>
      <c r="BX81" s="147"/>
      <c r="BY81" s="147"/>
      <c r="CA81" s="147"/>
    </row>
    <row r="82" spans="26:79" x14ac:dyDescent="0.3">
      <c r="Z82" s="189"/>
      <c r="AA82" s="189">
        <v>16</v>
      </c>
      <c r="AB82" s="189">
        <v>0</v>
      </c>
      <c r="AC82" s="189">
        <v>0</v>
      </c>
      <c r="AD82" s="189">
        <v>0</v>
      </c>
      <c r="AE82" s="189">
        <v>0</v>
      </c>
      <c r="AF82" s="189">
        <v>0</v>
      </c>
      <c r="AG82" s="189">
        <v>0</v>
      </c>
      <c r="AH82" s="189">
        <v>0</v>
      </c>
      <c r="AI82" s="189">
        <v>0</v>
      </c>
      <c r="AJ82" s="189">
        <v>2</v>
      </c>
      <c r="AK82" s="189">
        <v>38.4</v>
      </c>
      <c r="AL82" s="189">
        <v>6</v>
      </c>
      <c r="AM82" s="189">
        <v>10.9</v>
      </c>
      <c r="AN82" s="189">
        <v>2</v>
      </c>
      <c r="AO82" s="189">
        <v>4.8</v>
      </c>
      <c r="AP82" s="189">
        <v>21</v>
      </c>
      <c r="AQ82" s="189">
        <v>24.4</v>
      </c>
      <c r="AR82" s="189">
        <v>9</v>
      </c>
      <c r="AS82" s="189">
        <v>29.4</v>
      </c>
      <c r="AT82" s="189">
        <v>2</v>
      </c>
      <c r="AU82" s="189">
        <v>16.100000000000001</v>
      </c>
      <c r="AV82" s="189">
        <v>0</v>
      </c>
      <c r="AW82" s="189">
        <v>0</v>
      </c>
      <c r="AX82" s="189">
        <v>0</v>
      </c>
      <c r="AY82" s="189">
        <v>0</v>
      </c>
      <c r="AZ82" s="189">
        <v>42</v>
      </c>
      <c r="BA82" s="189">
        <v>16.600000000000001</v>
      </c>
      <c r="BC82" s="145"/>
      <c r="BF82" s="146"/>
      <c r="BG82" s="147"/>
      <c r="BH82" s="147"/>
      <c r="BI82" s="147"/>
      <c r="BJ82" s="147"/>
      <c r="BK82" s="147"/>
      <c r="BL82" s="147"/>
      <c r="BM82" s="147"/>
      <c r="BN82" s="147"/>
      <c r="BO82" s="147"/>
      <c r="BP82" s="147"/>
      <c r="BQ82" s="147"/>
      <c r="BR82" s="147"/>
      <c r="BS82" s="147"/>
      <c r="BT82" s="147"/>
      <c r="BU82" s="147"/>
      <c r="BV82" s="147"/>
      <c r="BW82" s="147"/>
      <c r="BX82" s="147"/>
      <c r="BY82" s="147"/>
      <c r="CA82" s="147"/>
    </row>
    <row r="83" spans="26:79" x14ac:dyDescent="0.3">
      <c r="Z83" s="189"/>
      <c r="AA83" s="189">
        <v>17</v>
      </c>
      <c r="AB83" s="189">
        <v>0</v>
      </c>
      <c r="AC83" s="189">
        <v>0</v>
      </c>
      <c r="AD83" s="189">
        <v>0</v>
      </c>
      <c r="AE83" s="189">
        <v>0</v>
      </c>
      <c r="AF83" s="189">
        <v>0</v>
      </c>
      <c r="AG83" s="189">
        <v>0</v>
      </c>
      <c r="AH83" s="189">
        <v>0</v>
      </c>
      <c r="AI83" s="189">
        <v>0</v>
      </c>
      <c r="AJ83" s="189">
        <v>2</v>
      </c>
      <c r="AK83" s="189">
        <v>38.4</v>
      </c>
      <c r="AL83" s="189">
        <v>13</v>
      </c>
      <c r="AM83" s="189">
        <v>25.5</v>
      </c>
      <c r="AN83" s="189">
        <v>2</v>
      </c>
      <c r="AO83" s="189">
        <v>4.8</v>
      </c>
      <c r="AP83" s="189">
        <v>24</v>
      </c>
      <c r="AQ83" s="189">
        <v>28.6</v>
      </c>
      <c r="AR83" s="189">
        <v>16</v>
      </c>
      <c r="AS83" s="189">
        <v>55.8</v>
      </c>
      <c r="AT83" s="189">
        <v>2</v>
      </c>
      <c r="AU83" s="189">
        <v>16.100000000000001</v>
      </c>
      <c r="AV83" s="189">
        <v>0</v>
      </c>
      <c r="AW83" s="189">
        <v>0</v>
      </c>
      <c r="AX83" s="189">
        <v>0</v>
      </c>
      <c r="AY83" s="189">
        <v>0</v>
      </c>
      <c r="AZ83" s="189">
        <v>61</v>
      </c>
      <c r="BA83" s="189">
        <v>24</v>
      </c>
      <c r="BC83" s="145"/>
      <c r="BF83" s="146"/>
      <c r="BG83" s="147"/>
      <c r="BH83" s="147"/>
      <c r="BI83" s="147"/>
      <c r="BJ83" s="147"/>
      <c r="BK83" s="147"/>
      <c r="BL83" s="147"/>
      <c r="BM83" s="147"/>
      <c r="BN83" s="147"/>
      <c r="BO83" s="147"/>
      <c r="BP83" s="147"/>
      <c r="BQ83" s="147"/>
      <c r="BR83" s="147"/>
      <c r="BS83" s="147"/>
      <c r="BT83" s="147"/>
      <c r="BU83" s="147"/>
      <c r="BV83" s="147"/>
      <c r="BW83" s="147"/>
      <c r="BX83" s="147"/>
      <c r="BY83" s="147"/>
      <c r="CA83" s="147"/>
    </row>
    <row r="84" spans="26:79" x14ac:dyDescent="0.3">
      <c r="Z84" s="189"/>
      <c r="AA84" s="189">
        <v>18</v>
      </c>
      <c r="AB84" s="189">
        <v>0</v>
      </c>
      <c r="AC84" s="189">
        <v>0</v>
      </c>
      <c r="AD84" s="189">
        <v>0</v>
      </c>
      <c r="AE84" s="189">
        <v>0</v>
      </c>
      <c r="AF84" s="189">
        <v>0</v>
      </c>
      <c r="AG84" s="189">
        <v>0</v>
      </c>
      <c r="AH84" s="189">
        <v>0</v>
      </c>
      <c r="AI84" s="189">
        <v>0</v>
      </c>
      <c r="AJ84" s="189">
        <v>2</v>
      </c>
      <c r="AK84" s="189">
        <v>38.4</v>
      </c>
      <c r="AL84" s="189">
        <v>13</v>
      </c>
      <c r="AM84" s="189">
        <v>25.5</v>
      </c>
      <c r="AN84" s="189">
        <v>2</v>
      </c>
      <c r="AO84" s="189">
        <v>4.8</v>
      </c>
      <c r="AP84" s="189">
        <v>24</v>
      </c>
      <c r="AQ84" s="189">
        <v>28.6</v>
      </c>
      <c r="AR84" s="189">
        <v>16</v>
      </c>
      <c r="AS84" s="189">
        <v>55.8</v>
      </c>
      <c r="AT84" s="189">
        <v>2</v>
      </c>
      <c r="AU84" s="189">
        <v>16.100000000000001</v>
      </c>
      <c r="AV84" s="189">
        <v>0</v>
      </c>
      <c r="AW84" s="189">
        <v>0</v>
      </c>
      <c r="AX84" s="189">
        <v>0</v>
      </c>
      <c r="AY84" s="189">
        <v>0</v>
      </c>
      <c r="AZ84" s="189">
        <v>61</v>
      </c>
      <c r="BA84" s="189">
        <v>24</v>
      </c>
      <c r="BC84" s="145"/>
      <c r="BF84" s="146"/>
      <c r="BG84" s="147"/>
      <c r="BH84" s="147"/>
      <c r="BI84" s="147"/>
      <c r="BJ84" s="147"/>
      <c r="BK84" s="147"/>
      <c r="BL84" s="147"/>
      <c r="BM84" s="147"/>
      <c r="BN84" s="147"/>
      <c r="BO84" s="147"/>
      <c r="BP84" s="147"/>
      <c r="BQ84" s="147"/>
      <c r="BR84" s="147"/>
      <c r="BS84" s="147"/>
      <c r="BT84" s="147"/>
      <c r="BU84" s="147"/>
      <c r="BV84" s="147"/>
      <c r="BW84" s="147"/>
      <c r="BX84" s="147"/>
      <c r="BY84" s="147"/>
      <c r="CA84" s="147"/>
    </row>
    <row r="85" spans="26:79" x14ac:dyDescent="0.3">
      <c r="Z85" s="189"/>
      <c r="AA85" s="189">
        <v>19</v>
      </c>
      <c r="AB85" s="189">
        <v>0</v>
      </c>
      <c r="AC85" s="189">
        <v>0</v>
      </c>
      <c r="AD85" s="189">
        <v>0</v>
      </c>
      <c r="AE85" s="189">
        <v>0</v>
      </c>
      <c r="AF85" s="189">
        <v>0</v>
      </c>
      <c r="AG85" s="189">
        <v>0</v>
      </c>
      <c r="AH85" s="189">
        <v>0</v>
      </c>
      <c r="AI85" s="189">
        <v>0</v>
      </c>
      <c r="AJ85" s="189">
        <v>2</v>
      </c>
      <c r="AK85" s="189">
        <v>38.4</v>
      </c>
      <c r="AL85" s="189">
        <v>13</v>
      </c>
      <c r="AM85" s="189">
        <v>25.5</v>
      </c>
      <c r="AN85" s="189">
        <v>2</v>
      </c>
      <c r="AO85" s="189">
        <v>4.8</v>
      </c>
      <c r="AP85" s="189">
        <v>24</v>
      </c>
      <c r="AQ85" s="189">
        <v>28.6</v>
      </c>
      <c r="AR85" s="189">
        <v>16</v>
      </c>
      <c r="AS85" s="189">
        <v>55.8</v>
      </c>
      <c r="AT85" s="189">
        <v>2</v>
      </c>
      <c r="AU85" s="189">
        <v>16.100000000000001</v>
      </c>
      <c r="AV85" s="189">
        <v>0</v>
      </c>
      <c r="AW85" s="189">
        <v>0</v>
      </c>
      <c r="AX85" s="189">
        <v>0</v>
      </c>
      <c r="AY85" s="189">
        <v>0</v>
      </c>
      <c r="AZ85" s="189">
        <v>61</v>
      </c>
      <c r="BA85" s="189">
        <v>24</v>
      </c>
      <c r="BC85" s="145"/>
      <c r="BF85" s="146"/>
      <c r="BG85" s="147"/>
      <c r="BH85" s="147"/>
      <c r="BI85" s="147"/>
      <c r="BJ85" s="147"/>
      <c r="BK85" s="147"/>
      <c r="BL85" s="147"/>
      <c r="BM85" s="147"/>
      <c r="BN85" s="147"/>
      <c r="BO85" s="147"/>
      <c r="BP85" s="147"/>
      <c r="BQ85" s="147"/>
      <c r="BR85" s="147"/>
      <c r="BS85" s="147"/>
      <c r="BT85" s="147"/>
      <c r="BU85" s="147"/>
      <c r="BV85" s="147"/>
      <c r="BW85" s="147"/>
      <c r="BX85" s="147"/>
      <c r="BY85" s="147"/>
      <c r="CA85" s="147"/>
    </row>
    <row r="86" spans="26:79" x14ac:dyDescent="0.3">
      <c r="Z86" s="189"/>
      <c r="AA86" s="189">
        <v>20</v>
      </c>
      <c r="AB86" s="189">
        <v>0</v>
      </c>
      <c r="AC86" s="189">
        <v>0</v>
      </c>
      <c r="AD86" s="189">
        <v>0</v>
      </c>
      <c r="AE86" s="189">
        <v>0</v>
      </c>
      <c r="AF86" s="189">
        <v>0</v>
      </c>
      <c r="AG86" s="189">
        <v>0</v>
      </c>
      <c r="AH86" s="189">
        <v>0</v>
      </c>
      <c r="AI86" s="189">
        <v>0</v>
      </c>
      <c r="AJ86" s="189">
        <v>2</v>
      </c>
      <c r="AK86" s="189">
        <v>38.4</v>
      </c>
      <c r="AL86" s="189">
        <v>13</v>
      </c>
      <c r="AM86" s="189">
        <v>25.5</v>
      </c>
      <c r="AN86" s="189">
        <v>2</v>
      </c>
      <c r="AO86" s="189">
        <v>4.8</v>
      </c>
      <c r="AP86" s="189">
        <v>24</v>
      </c>
      <c r="AQ86" s="189">
        <v>28.6</v>
      </c>
      <c r="AR86" s="189">
        <v>16</v>
      </c>
      <c r="AS86" s="189">
        <v>55.8</v>
      </c>
      <c r="AT86" s="189">
        <v>2</v>
      </c>
      <c r="AU86" s="189">
        <v>16.100000000000001</v>
      </c>
      <c r="AV86" s="189">
        <v>0</v>
      </c>
      <c r="AW86" s="189">
        <v>0</v>
      </c>
      <c r="AX86" s="189">
        <v>0</v>
      </c>
      <c r="AY86" s="189">
        <v>0</v>
      </c>
      <c r="AZ86" s="189">
        <v>61</v>
      </c>
      <c r="BA86" s="189">
        <v>24</v>
      </c>
      <c r="BC86" s="145"/>
      <c r="BF86" s="146"/>
      <c r="BG86" s="147"/>
      <c r="BH86" s="147"/>
      <c r="BI86" s="147"/>
      <c r="BJ86" s="147"/>
      <c r="BK86" s="147"/>
      <c r="BL86" s="147"/>
      <c r="BM86" s="147"/>
      <c r="BN86" s="147"/>
      <c r="BO86" s="147"/>
      <c r="BP86" s="147"/>
      <c r="BQ86" s="147"/>
      <c r="BR86" s="147"/>
      <c r="BS86" s="147"/>
      <c r="BT86" s="147"/>
      <c r="BU86" s="147"/>
      <c r="BV86" s="147"/>
      <c r="BW86" s="147"/>
      <c r="BX86" s="147"/>
      <c r="BY86" s="147"/>
      <c r="CA86" s="147"/>
    </row>
    <row r="87" spans="26:79" x14ac:dyDescent="0.3">
      <c r="Z87" s="189"/>
      <c r="AA87" s="189">
        <v>21</v>
      </c>
      <c r="AB87" s="189">
        <v>0</v>
      </c>
      <c r="AC87" s="189">
        <v>0</v>
      </c>
      <c r="AD87" s="189">
        <v>0</v>
      </c>
      <c r="AE87" s="189">
        <v>0</v>
      </c>
      <c r="AF87" s="189">
        <v>0</v>
      </c>
      <c r="AG87" s="189">
        <v>0</v>
      </c>
      <c r="AH87" s="189">
        <v>0</v>
      </c>
      <c r="AI87" s="189">
        <v>0</v>
      </c>
      <c r="AJ87" s="189">
        <v>2</v>
      </c>
      <c r="AK87" s="189">
        <v>38.4</v>
      </c>
      <c r="AL87" s="189">
        <v>13</v>
      </c>
      <c r="AM87" s="189">
        <v>25.5</v>
      </c>
      <c r="AN87" s="189">
        <v>2</v>
      </c>
      <c r="AO87" s="189">
        <v>4.8</v>
      </c>
      <c r="AP87" s="189">
        <v>24</v>
      </c>
      <c r="AQ87" s="189">
        <v>28.6</v>
      </c>
      <c r="AR87" s="189">
        <v>16</v>
      </c>
      <c r="AS87" s="189">
        <v>55.8</v>
      </c>
      <c r="AT87" s="189">
        <v>2</v>
      </c>
      <c r="AU87" s="189">
        <v>16.100000000000001</v>
      </c>
      <c r="AV87" s="189">
        <v>0</v>
      </c>
      <c r="AW87" s="189">
        <v>0</v>
      </c>
      <c r="AX87" s="189">
        <v>0</v>
      </c>
      <c r="AY87" s="189">
        <v>0</v>
      </c>
      <c r="AZ87" s="189">
        <v>61</v>
      </c>
      <c r="BA87" s="189">
        <v>24</v>
      </c>
      <c r="BC87" s="145"/>
      <c r="BF87" s="146"/>
      <c r="BG87" s="147"/>
      <c r="BH87" s="147"/>
      <c r="BI87" s="147"/>
      <c r="BJ87" s="147"/>
      <c r="BK87" s="147"/>
      <c r="BL87" s="147"/>
      <c r="BM87" s="147"/>
      <c r="BN87" s="147"/>
      <c r="BO87" s="147"/>
      <c r="BP87" s="147"/>
      <c r="BQ87" s="147"/>
      <c r="BR87" s="147"/>
      <c r="BS87" s="147"/>
      <c r="BT87" s="147"/>
      <c r="BU87" s="147"/>
      <c r="BV87" s="147"/>
      <c r="BW87" s="147"/>
      <c r="BX87" s="147"/>
      <c r="BY87" s="147"/>
      <c r="CA87" s="147"/>
    </row>
    <row r="88" spans="26:79" x14ac:dyDescent="0.3">
      <c r="Z88" s="189"/>
      <c r="AA88" s="189">
        <v>22</v>
      </c>
      <c r="AB88" s="189">
        <v>0</v>
      </c>
      <c r="AC88" s="189">
        <v>0</v>
      </c>
      <c r="AD88" s="189">
        <v>0</v>
      </c>
      <c r="AE88" s="189">
        <v>0</v>
      </c>
      <c r="AF88" s="189">
        <v>0</v>
      </c>
      <c r="AG88" s="189">
        <v>0</v>
      </c>
      <c r="AH88" s="189">
        <v>0</v>
      </c>
      <c r="AI88" s="189">
        <v>0</v>
      </c>
      <c r="AJ88" s="189">
        <v>2</v>
      </c>
      <c r="AK88" s="189">
        <v>38.4</v>
      </c>
      <c r="AL88" s="189">
        <v>13</v>
      </c>
      <c r="AM88" s="189">
        <v>25.5</v>
      </c>
      <c r="AN88" s="189">
        <v>2</v>
      </c>
      <c r="AO88" s="189">
        <v>4.8</v>
      </c>
      <c r="AP88" s="189">
        <v>24</v>
      </c>
      <c r="AQ88" s="189">
        <v>28.6</v>
      </c>
      <c r="AR88" s="189">
        <v>16</v>
      </c>
      <c r="AS88" s="189">
        <v>55.8</v>
      </c>
      <c r="AT88" s="189">
        <v>2</v>
      </c>
      <c r="AU88" s="189">
        <v>16.100000000000001</v>
      </c>
      <c r="AV88" s="189">
        <v>0</v>
      </c>
      <c r="AW88" s="189">
        <v>0</v>
      </c>
      <c r="AX88" s="189">
        <v>0</v>
      </c>
      <c r="AY88" s="189">
        <v>0</v>
      </c>
      <c r="AZ88" s="189">
        <v>61</v>
      </c>
      <c r="BA88" s="189">
        <v>24</v>
      </c>
      <c r="BC88" s="145"/>
      <c r="BF88" s="146"/>
      <c r="BG88" s="147"/>
      <c r="BH88" s="147"/>
      <c r="BI88" s="147"/>
      <c r="BJ88" s="147"/>
      <c r="BK88" s="147"/>
      <c r="BL88" s="147"/>
      <c r="BM88" s="147"/>
      <c r="BN88" s="147"/>
      <c r="BO88" s="147"/>
      <c r="BP88" s="147"/>
      <c r="BQ88" s="147"/>
      <c r="BR88" s="147"/>
      <c r="BS88" s="147"/>
      <c r="BT88" s="147"/>
      <c r="BU88" s="147"/>
      <c r="BV88" s="147"/>
      <c r="BW88" s="147"/>
      <c r="BX88" s="147"/>
      <c r="BY88" s="147"/>
      <c r="CA88" s="147"/>
    </row>
    <row r="89" spans="26:79" x14ac:dyDescent="0.3">
      <c r="Z89" s="189"/>
      <c r="AA89" s="189">
        <v>23</v>
      </c>
      <c r="AB89" s="189">
        <v>0</v>
      </c>
      <c r="AC89" s="189">
        <v>0</v>
      </c>
      <c r="AD89" s="189">
        <v>0</v>
      </c>
      <c r="AE89" s="189">
        <v>0</v>
      </c>
      <c r="AF89" s="189">
        <v>0</v>
      </c>
      <c r="AG89" s="189">
        <v>0</v>
      </c>
      <c r="AH89" s="189">
        <v>0</v>
      </c>
      <c r="AI89" s="189">
        <v>0</v>
      </c>
      <c r="AJ89" s="189">
        <v>2</v>
      </c>
      <c r="AK89" s="189">
        <v>38.4</v>
      </c>
      <c r="AL89" s="189">
        <v>13</v>
      </c>
      <c r="AM89" s="189">
        <v>25.5</v>
      </c>
      <c r="AN89" s="189">
        <v>2</v>
      </c>
      <c r="AO89" s="189">
        <v>4.8</v>
      </c>
      <c r="AP89" s="189">
        <v>24</v>
      </c>
      <c r="AQ89" s="189">
        <v>28.6</v>
      </c>
      <c r="AR89" s="189">
        <v>16</v>
      </c>
      <c r="AS89" s="189">
        <v>55.8</v>
      </c>
      <c r="AT89" s="189">
        <v>2</v>
      </c>
      <c r="AU89" s="189">
        <v>16.100000000000001</v>
      </c>
      <c r="AV89" s="189">
        <v>0</v>
      </c>
      <c r="AW89" s="189">
        <v>0</v>
      </c>
      <c r="AX89" s="189">
        <v>0</v>
      </c>
      <c r="AY89" s="189">
        <v>0</v>
      </c>
      <c r="AZ89" s="189">
        <v>61</v>
      </c>
      <c r="BA89" s="189">
        <v>24</v>
      </c>
      <c r="BC89" s="145"/>
      <c r="BF89" s="146"/>
      <c r="BG89" s="147"/>
      <c r="BH89" s="147"/>
      <c r="BI89" s="147"/>
      <c r="BJ89" s="147"/>
      <c r="BK89" s="147"/>
      <c r="BL89" s="147"/>
      <c r="BM89" s="147"/>
      <c r="BN89" s="147"/>
      <c r="BO89" s="147"/>
      <c r="BP89" s="147"/>
      <c r="BQ89" s="147"/>
      <c r="BR89" s="147"/>
      <c r="BS89" s="147"/>
      <c r="BT89" s="147"/>
      <c r="BU89" s="147"/>
      <c r="BV89" s="147"/>
      <c r="BW89" s="147"/>
      <c r="BX89" s="147"/>
      <c r="BY89" s="147"/>
      <c r="CA89" s="147"/>
    </row>
    <row r="90" spans="26:79" x14ac:dyDescent="0.3">
      <c r="Z90" s="189"/>
      <c r="AA90" s="189">
        <v>24</v>
      </c>
      <c r="AB90" s="189">
        <v>0</v>
      </c>
      <c r="AC90" s="189">
        <v>0</v>
      </c>
      <c r="AD90" s="189">
        <v>0</v>
      </c>
      <c r="AE90" s="189">
        <v>0</v>
      </c>
      <c r="AF90" s="189">
        <v>0</v>
      </c>
      <c r="AG90" s="189">
        <v>0</v>
      </c>
      <c r="AH90" s="189">
        <v>0</v>
      </c>
      <c r="AI90" s="189">
        <v>0</v>
      </c>
      <c r="AJ90" s="189">
        <v>2</v>
      </c>
      <c r="AK90" s="189">
        <v>38.4</v>
      </c>
      <c r="AL90" s="189">
        <v>13</v>
      </c>
      <c r="AM90" s="189">
        <v>25.5</v>
      </c>
      <c r="AN90" s="189">
        <v>2</v>
      </c>
      <c r="AO90" s="189">
        <v>4.8</v>
      </c>
      <c r="AP90" s="189">
        <v>24</v>
      </c>
      <c r="AQ90" s="189">
        <v>28.6</v>
      </c>
      <c r="AR90" s="189">
        <v>16</v>
      </c>
      <c r="AS90" s="189">
        <v>55.8</v>
      </c>
      <c r="AT90" s="189">
        <v>2</v>
      </c>
      <c r="AU90" s="189">
        <v>16.100000000000001</v>
      </c>
      <c r="AV90" s="189">
        <v>0</v>
      </c>
      <c r="AW90" s="189">
        <v>0</v>
      </c>
      <c r="AX90" s="189">
        <v>0</v>
      </c>
      <c r="AY90" s="189">
        <v>0</v>
      </c>
      <c r="AZ90" s="189">
        <v>61</v>
      </c>
      <c r="BA90" s="189">
        <v>24</v>
      </c>
      <c r="BC90" s="145"/>
      <c r="BF90" s="146"/>
      <c r="BG90" s="147"/>
      <c r="BH90" s="147"/>
      <c r="BI90" s="147"/>
      <c r="BJ90" s="147"/>
      <c r="BK90" s="147"/>
      <c r="BL90" s="147"/>
      <c r="BM90" s="147"/>
      <c r="BN90" s="147"/>
      <c r="BO90" s="147"/>
      <c r="BP90" s="147"/>
      <c r="BQ90" s="147"/>
      <c r="BR90" s="147"/>
      <c r="BS90" s="147"/>
      <c r="BT90" s="147"/>
      <c r="BU90" s="147"/>
      <c r="BV90" s="147"/>
      <c r="BW90" s="147"/>
      <c r="BX90" s="147"/>
      <c r="BY90" s="147"/>
      <c r="CA90" s="147"/>
    </row>
    <row r="91" spans="26:79" x14ac:dyDescent="0.3">
      <c r="Z91" s="189"/>
      <c r="AA91" s="189">
        <v>25</v>
      </c>
      <c r="AB91" s="189">
        <v>0</v>
      </c>
      <c r="AC91" s="189">
        <v>0</v>
      </c>
      <c r="AD91" s="189">
        <v>0</v>
      </c>
      <c r="AE91" s="189">
        <v>0</v>
      </c>
      <c r="AF91" s="189">
        <v>0</v>
      </c>
      <c r="AG91" s="189">
        <v>0</v>
      </c>
      <c r="AH91" s="189">
        <v>0</v>
      </c>
      <c r="AI91" s="189">
        <v>0</v>
      </c>
      <c r="AJ91" s="189">
        <v>2</v>
      </c>
      <c r="AK91" s="189">
        <v>38.4</v>
      </c>
      <c r="AL91" s="189">
        <v>13</v>
      </c>
      <c r="AM91" s="189">
        <v>25.5</v>
      </c>
      <c r="AN91" s="189">
        <v>2</v>
      </c>
      <c r="AO91" s="189">
        <v>4.8</v>
      </c>
      <c r="AP91" s="189">
        <v>24</v>
      </c>
      <c r="AQ91" s="189">
        <v>28.6</v>
      </c>
      <c r="AR91" s="189">
        <v>16</v>
      </c>
      <c r="AS91" s="189">
        <v>55.8</v>
      </c>
      <c r="AT91" s="189">
        <v>2</v>
      </c>
      <c r="AU91" s="189">
        <v>16.100000000000001</v>
      </c>
      <c r="AV91" s="189">
        <v>0</v>
      </c>
      <c r="AW91" s="189">
        <v>0</v>
      </c>
      <c r="AX91" s="189">
        <v>0</v>
      </c>
      <c r="AY91" s="189">
        <v>0</v>
      </c>
      <c r="AZ91" s="189">
        <v>61</v>
      </c>
      <c r="BA91" s="189">
        <v>24</v>
      </c>
      <c r="BC91" s="145"/>
      <c r="BF91" s="146"/>
      <c r="BG91" s="147"/>
      <c r="BH91" s="147"/>
      <c r="BI91" s="147"/>
      <c r="BJ91" s="147"/>
      <c r="BK91" s="147"/>
      <c r="BL91" s="147"/>
      <c r="BM91" s="147"/>
      <c r="BN91" s="147"/>
      <c r="BO91" s="147"/>
      <c r="BP91" s="147"/>
      <c r="BQ91" s="147"/>
      <c r="BR91" s="147"/>
      <c r="BS91" s="147"/>
      <c r="BT91" s="147"/>
      <c r="BU91" s="147"/>
      <c r="BV91" s="147"/>
      <c r="BW91" s="147"/>
      <c r="BX91" s="147"/>
      <c r="BY91" s="147"/>
      <c r="CA91" s="147"/>
    </row>
  </sheetData>
  <mergeCells count="4">
    <mergeCell ref="B2:M2"/>
    <mergeCell ref="B14:M14"/>
    <mergeCell ref="B25:M25"/>
    <mergeCell ref="Q3:R3"/>
  </mergeCells>
  <conditionalFormatting sqref="B19:M23">
    <cfRule type="colorScale" priority="49">
      <colorScale>
        <cfvo type="min"/>
        <cfvo type="max"/>
        <color rgb="FFFFEF9C"/>
        <color rgb="FFFF7128"/>
      </colorScale>
    </cfRule>
  </conditionalFormatting>
  <conditionalFormatting sqref="B30:M34">
    <cfRule type="colorScale" priority="45">
      <colorScale>
        <cfvo type="min"/>
        <cfvo type="max"/>
        <color rgb="FFFFEF9C"/>
        <color rgb="FFFF7128"/>
      </colorScale>
    </cfRule>
  </conditionalFormatting>
  <conditionalFormatting sqref="B19:M24">
    <cfRule type="colorScale" priority="58">
      <colorScale>
        <cfvo type="min"/>
        <cfvo type="max"/>
        <color rgb="FFFFEF9C"/>
        <color rgb="FFFF7128"/>
      </colorScale>
    </cfRule>
  </conditionalFormatting>
  <conditionalFormatting sqref="B4:M12 P10">
    <cfRule type="colorScale" priority="31">
      <colorScale>
        <cfvo type="min"/>
        <cfvo type="max"/>
        <color rgb="FFFFEF9C"/>
        <color rgb="FFFF7128"/>
      </colorScale>
    </cfRule>
  </conditionalFormatting>
  <conditionalFormatting sqref="B16:M23">
    <cfRule type="colorScale" priority="30">
      <colorScale>
        <cfvo type="min"/>
        <cfvo type="max"/>
        <color rgb="FFFFEF9C"/>
        <color rgb="FFFF7128"/>
      </colorScale>
    </cfRule>
  </conditionalFormatting>
  <conditionalFormatting sqref="B16:M23">
    <cfRule type="colorScale" priority="29">
      <colorScale>
        <cfvo type="min"/>
        <cfvo type="max"/>
        <color rgb="FFFFEF9C"/>
        <color rgb="FFFF7128"/>
      </colorScale>
    </cfRule>
  </conditionalFormatting>
  <conditionalFormatting sqref="B27:M34">
    <cfRule type="colorScale" priority="28">
      <colorScale>
        <cfvo type="min"/>
        <cfvo type="max"/>
        <color rgb="FFFFEF9C"/>
        <color rgb="FFFF7128"/>
      </colorScale>
    </cfRule>
  </conditionalFormatting>
  <conditionalFormatting sqref="B27:M34">
    <cfRule type="colorScale" priority="26">
      <colorScale>
        <cfvo type="min"/>
        <cfvo type="max"/>
        <color rgb="FFFFEF9C"/>
        <color rgb="FFFF7128"/>
      </colorScale>
    </cfRule>
  </conditionalFormatting>
  <conditionalFormatting sqref="CF6:CG6 BH25:CB25 AX6:AZ6 AA6:AV6 BE25:BF25 CB44 BM44:BZ44 BF44 BH44:BJ44 AD7:AD10 AB7:AB10">
    <cfRule type="cellIs" dxfId="4" priority="15" operator="lessThan">
      <formula>30</formula>
    </cfRule>
  </conditionalFormatting>
  <conditionalFormatting sqref="CU27:DF34">
    <cfRule type="colorScale" priority="13">
      <colorScale>
        <cfvo type="min"/>
        <cfvo type="max"/>
        <color rgb="FFFFEF9C"/>
        <color rgb="FFFF7128"/>
      </colorScale>
    </cfRule>
  </conditionalFormatting>
  <conditionalFormatting sqref="CG27:CR34">
    <cfRule type="colorScale" priority="12">
      <colorScale>
        <cfvo type="min"/>
        <cfvo type="max"/>
        <color rgb="FFFFEF9C"/>
        <color rgb="FFFF7128"/>
      </colorScale>
    </cfRule>
  </conditionalFormatting>
  <conditionalFormatting sqref="CG46:CR53">
    <cfRule type="colorScale" priority="11">
      <colorScale>
        <cfvo type="min"/>
        <cfvo type="max"/>
        <color rgb="FFFFEF9C"/>
        <color rgb="FFFF7128"/>
      </colorScale>
    </cfRule>
  </conditionalFormatting>
  <conditionalFormatting sqref="CU46:DF53">
    <cfRule type="colorScale" priority="10">
      <colorScale>
        <cfvo type="min"/>
        <cfvo type="max"/>
        <color rgb="FFFFEF9C"/>
        <color rgb="FFFF7128"/>
      </colorScale>
    </cfRule>
  </conditionalFormatting>
  <conditionalFormatting sqref="BQ8:CB16">
    <cfRule type="colorScale" priority="9">
      <colorScale>
        <cfvo type="min"/>
        <cfvo type="max"/>
        <color rgb="FFFFEF9C"/>
        <color rgb="FFFF7128"/>
      </colorScale>
    </cfRule>
  </conditionalFormatting>
  <conditionalFormatting sqref="I39:J43">
    <cfRule type="colorScale" priority="7">
      <colorScale>
        <cfvo type="min"/>
        <cfvo type="max"/>
        <color rgb="FFFFEF9C"/>
        <color rgb="FFFF7128"/>
      </colorScale>
    </cfRule>
  </conditionalFormatting>
  <conditionalFormatting sqref="I37:J43">
    <cfRule type="colorScale" priority="6">
      <colorScale>
        <cfvo type="min"/>
        <cfvo type="max"/>
        <color rgb="FFFFEF9C"/>
        <color rgb="FFFF7128"/>
      </colorScale>
    </cfRule>
  </conditionalFormatting>
  <conditionalFormatting sqref="I39:J43 I37:I38">
    <cfRule type="colorScale" priority="5">
      <colorScale>
        <cfvo type="min"/>
        <cfvo type="max"/>
        <color rgb="FFFFEF9C"/>
        <color rgb="FFFF7128"/>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39997558519241921"/>
  </sheetPr>
  <dimension ref="A1:DD77"/>
  <sheetViews>
    <sheetView topLeftCell="BL7" zoomScale="43" zoomScaleNormal="55" workbookViewId="0">
      <selection activeCell="N61" sqref="C53:N61"/>
    </sheetView>
  </sheetViews>
  <sheetFormatPr defaultRowHeight="14.4" x14ac:dyDescent="0.3"/>
  <cols>
    <col min="1" max="1" width="28.77734375" style="195" customWidth="1"/>
    <col min="2" max="2" width="13.6640625" bestFit="1" customWidth="1"/>
    <col min="3" max="3" width="8.44140625" customWidth="1"/>
    <col min="4" max="14" width="9.21875" bestFit="1" customWidth="1"/>
    <col min="16" max="31" width="10.6640625" style="195" customWidth="1"/>
    <col min="32" max="34" width="8.88671875" style="195"/>
    <col min="35" max="35" width="17.21875" style="195" customWidth="1"/>
    <col min="36" max="40" width="12.77734375" style="195" customWidth="1"/>
    <col min="41" max="41" width="15" style="195" customWidth="1"/>
    <col min="42" max="43" width="12.77734375" style="195" customWidth="1"/>
    <col min="44" max="50" width="8.88671875" style="195"/>
    <col min="51" max="52" width="10.6640625" style="195" customWidth="1"/>
    <col min="53" max="53" width="14.77734375" style="195" customWidth="1"/>
    <col min="54" max="56" width="8.88671875" style="195"/>
    <col min="57" max="57" width="11.33203125" style="195" bestFit="1" customWidth="1"/>
    <col min="58" max="63" width="8.88671875" style="195"/>
    <col min="64" max="64" width="11.33203125" style="195" customWidth="1"/>
    <col min="65" max="70" width="8.88671875" style="195"/>
    <col min="71" max="71" width="17.77734375" style="195" customWidth="1"/>
    <col min="72" max="72" width="21.33203125" style="195" customWidth="1"/>
    <col min="73" max="73" width="13.77734375" style="195" customWidth="1"/>
    <col min="74" max="74" width="13.44140625" customWidth="1"/>
    <col min="75" max="75" width="10.6640625" customWidth="1"/>
    <col min="98" max="98" width="8.88671875" customWidth="1"/>
  </cols>
  <sheetData>
    <row r="1" spans="1:108" s="132" customFormat="1" x14ac:dyDescent="0.3">
      <c r="A1" s="195"/>
      <c r="B1" s="132" t="s">
        <v>61</v>
      </c>
      <c r="L1" s="27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t="s">
        <v>213</v>
      </c>
      <c r="BC1" s="195"/>
      <c r="BD1" s="195"/>
      <c r="BE1" s="195"/>
      <c r="BF1" s="195"/>
      <c r="BG1" s="195"/>
      <c r="BH1" s="195"/>
      <c r="BI1" s="195"/>
      <c r="BJ1" s="195"/>
      <c r="BK1" s="195"/>
      <c r="BL1" s="195"/>
      <c r="BM1" s="195"/>
      <c r="BN1" s="195"/>
      <c r="BO1" s="195"/>
      <c r="BP1" s="195"/>
      <c r="BQ1" s="195"/>
      <c r="BR1" s="195"/>
      <c r="BS1" s="195"/>
      <c r="BT1" s="195"/>
      <c r="BU1" s="195"/>
      <c r="DD1" s="195" t="s">
        <v>132</v>
      </c>
    </row>
    <row r="2" spans="1:108" ht="16.2" thickBot="1" x14ac:dyDescent="0.35">
      <c r="B2" s="136" t="s">
        <v>266</v>
      </c>
      <c r="C2" s="135"/>
      <c r="D2" s="135"/>
      <c r="E2" s="135"/>
      <c r="F2" s="135"/>
      <c r="G2" s="135"/>
      <c r="H2" s="135"/>
      <c r="I2" s="135"/>
      <c r="J2" s="135"/>
      <c r="K2" s="135"/>
      <c r="L2" s="135"/>
      <c r="M2" s="135"/>
      <c r="N2" s="135"/>
      <c r="R2" s="226" t="s">
        <v>133</v>
      </c>
      <c r="S2" s="225"/>
      <c r="T2" s="225"/>
      <c r="U2" s="225"/>
      <c r="V2" s="225"/>
      <c r="W2" s="225"/>
      <c r="X2" s="225"/>
      <c r="Y2" s="225"/>
      <c r="Z2" s="225"/>
      <c r="AA2" s="225"/>
      <c r="AB2" s="225"/>
      <c r="AC2" s="225"/>
      <c r="AD2" s="225"/>
      <c r="BZ2" s="278" t="s">
        <v>162</v>
      </c>
      <c r="CA2" s="278"/>
      <c r="CB2" s="278"/>
      <c r="CC2" s="278"/>
      <c r="CD2" s="278"/>
      <c r="CE2" s="278"/>
      <c r="CF2" s="278"/>
    </row>
    <row r="3" spans="1:108" ht="16.2" thickBot="1" x14ac:dyDescent="0.35">
      <c r="B3" s="135" t="s">
        <v>44</v>
      </c>
      <c r="C3" s="135">
        <v>1</v>
      </c>
      <c r="D3" s="135">
        <v>2</v>
      </c>
      <c r="E3" s="135">
        <v>3</v>
      </c>
      <c r="F3" s="135">
        <v>4</v>
      </c>
      <c r="G3" s="135">
        <v>5</v>
      </c>
      <c r="H3" s="135">
        <v>6</v>
      </c>
      <c r="I3" s="135">
        <v>7</v>
      </c>
      <c r="J3" s="135">
        <v>8</v>
      </c>
      <c r="K3" s="135">
        <v>9</v>
      </c>
      <c r="L3" s="135">
        <v>10</v>
      </c>
      <c r="M3" s="135">
        <v>11</v>
      </c>
      <c r="N3" s="135">
        <v>12</v>
      </c>
      <c r="AJ3" s="64" t="s">
        <v>301</v>
      </c>
      <c r="AK3" s="64" t="s">
        <v>302</v>
      </c>
      <c r="AL3" s="64" t="s">
        <v>303</v>
      </c>
      <c r="AM3" s="64" t="s">
        <v>304</v>
      </c>
      <c r="AN3" s="64" t="s">
        <v>305</v>
      </c>
      <c r="AO3" s="64" t="s">
        <v>306</v>
      </c>
      <c r="AP3" s="64" t="s">
        <v>307</v>
      </c>
      <c r="AQ3" s="64" t="s">
        <v>308</v>
      </c>
      <c r="BC3" s="195" t="s">
        <v>278</v>
      </c>
      <c r="BR3" s="195" t="s">
        <v>225</v>
      </c>
      <c r="BS3" s="195" t="s">
        <v>227</v>
      </c>
      <c r="BT3" s="195" t="s">
        <v>228</v>
      </c>
      <c r="BU3" s="195" t="s">
        <v>229</v>
      </c>
      <c r="BV3" t="s">
        <v>230</v>
      </c>
      <c r="BW3" t="s">
        <v>231</v>
      </c>
      <c r="BZ3" s="602" t="s">
        <v>148</v>
      </c>
      <c r="CA3" s="603"/>
      <c r="CB3" s="604"/>
      <c r="CC3" s="385">
        <v>2017</v>
      </c>
      <c r="CD3" s="385">
        <v>2018</v>
      </c>
      <c r="CE3" s="385">
        <v>2019</v>
      </c>
      <c r="CF3" s="246" t="s">
        <v>149</v>
      </c>
    </row>
    <row r="4" spans="1:108" ht="16.2" thickBot="1" x14ac:dyDescent="0.35">
      <c r="A4" s="195" t="s">
        <v>335</v>
      </c>
      <c r="B4" s="452">
        <v>1</v>
      </c>
      <c r="C4" s="271">
        <v>0</v>
      </c>
      <c r="D4" s="272">
        <v>0</v>
      </c>
      <c r="E4" s="272">
        <v>0</v>
      </c>
      <c r="F4" s="272">
        <v>0</v>
      </c>
      <c r="G4" s="272">
        <v>0</v>
      </c>
      <c r="H4" s="272">
        <v>0</v>
      </c>
      <c r="I4" s="272">
        <v>0</v>
      </c>
      <c r="J4" s="272">
        <v>0</v>
      </c>
      <c r="K4" s="272">
        <v>0</v>
      </c>
      <c r="L4" s="272">
        <v>0</v>
      </c>
      <c r="M4" s="272">
        <v>0</v>
      </c>
      <c r="N4" s="272">
        <v>0</v>
      </c>
      <c r="Q4" s="195" t="s">
        <v>50</v>
      </c>
      <c r="R4" s="195">
        <v>1</v>
      </c>
      <c r="S4" s="195">
        <v>2</v>
      </c>
      <c r="T4" s="195">
        <v>3</v>
      </c>
      <c r="U4" s="195">
        <v>4</v>
      </c>
      <c r="V4" s="195">
        <v>5</v>
      </c>
      <c r="W4" s="195">
        <v>6</v>
      </c>
      <c r="X4" s="195">
        <v>7</v>
      </c>
      <c r="Y4" s="195">
        <v>8</v>
      </c>
      <c r="Z4" s="195">
        <v>9</v>
      </c>
      <c r="AA4" s="195">
        <v>10</v>
      </c>
      <c r="AB4" s="195">
        <v>11</v>
      </c>
      <c r="AC4" s="195">
        <v>12</v>
      </c>
      <c r="AJ4" s="195">
        <v>35.089019437856663</v>
      </c>
      <c r="AK4" s="195">
        <v>91.231239401599993</v>
      </c>
      <c r="AL4" s="195">
        <v>205.74577468902581</v>
      </c>
      <c r="AM4" s="195">
        <v>3096</v>
      </c>
      <c r="AN4" s="195">
        <v>1</v>
      </c>
      <c r="AO4" s="195">
        <v>1</v>
      </c>
      <c r="AP4" s="195">
        <v>1</v>
      </c>
      <c r="AQ4" s="195">
        <v>1</v>
      </c>
      <c r="BR4" s="195" t="s">
        <v>226</v>
      </c>
      <c r="BS4" s="195" t="s">
        <v>232</v>
      </c>
      <c r="BT4" s="195" t="s">
        <v>226</v>
      </c>
      <c r="BU4" s="13">
        <v>0</v>
      </c>
      <c r="BV4" s="13">
        <v>0</v>
      </c>
      <c r="BW4" s="13">
        <v>0</v>
      </c>
      <c r="BZ4" s="386" t="s">
        <v>151</v>
      </c>
      <c r="CA4" s="387" t="s">
        <v>57</v>
      </c>
      <c r="CB4" s="244">
        <v>5</v>
      </c>
      <c r="CC4" s="245">
        <v>4</v>
      </c>
      <c r="CD4" s="245">
        <v>3</v>
      </c>
      <c r="CE4" s="245">
        <v>6</v>
      </c>
      <c r="CF4" s="245">
        <v>13</v>
      </c>
      <c r="CG4" s="12">
        <f>CF4/$CI$4</f>
        <v>0.39393939393939392</v>
      </c>
      <c r="CH4" t="s">
        <v>57</v>
      </c>
      <c r="CI4">
        <f>SUM(CF4,CF6,CF8,CF10,CF12)</f>
        <v>33</v>
      </c>
    </row>
    <row r="5" spans="1:108" ht="16.2" thickBot="1" x14ac:dyDescent="0.35">
      <c r="A5" s="195" t="s">
        <v>336</v>
      </c>
      <c r="B5" s="453">
        <v>2</v>
      </c>
      <c r="C5" s="273">
        <v>0.30011694223919316</v>
      </c>
      <c r="D5" s="273">
        <v>0.30011694223919316</v>
      </c>
      <c r="E5" s="273">
        <v>0.30011694223919316</v>
      </c>
      <c r="F5" s="273">
        <v>0.30011694223919316</v>
      </c>
      <c r="G5" s="273">
        <v>0.30011694223919316</v>
      </c>
      <c r="H5" s="273">
        <v>0.30011694223919316</v>
      </c>
      <c r="I5" s="273">
        <v>0.30011694223919316</v>
      </c>
      <c r="J5" s="273">
        <v>0.30011694223919316</v>
      </c>
      <c r="K5" s="273">
        <v>0.30011694223919316</v>
      </c>
      <c r="L5" s="273">
        <v>0.30011694223919316</v>
      </c>
      <c r="M5" s="273">
        <v>0.30011694223919316</v>
      </c>
      <c r="N5" s="273">
        <v>0.30011694223919316</v>
      </c>
      <c r="Q5" s="195">
        <v>20</v>
      </c>
      <c r="R5" s="13">
        <f>BL_pooling!AL31</f>
        <v>0</v>
      </c>
      <c r="S5" s="13">
        <f>BL_pooling!AM31</f>
        <v>0</v>
      </c>
      <c r="T5" s="13">
        <f>BL_pooling!AN31</f>
        <v>0</v>
      </c>
      <c r="U5" s="13">
        <f>BL_pooling!AO31</f>
        <v>0</v>
      </c>
      <c r="V5" s="13">
        <f>BL_pooling!AP31</f>
        <v>0</v>
      </c>
      <c r="W5" s="13">
        <f>BL_pooling!AQ31</f>
        <v>0</v>
      </c>
      <c r="X5" s="13">
        <f>BL_pooling!AR31</f>
        <v>0</v>
      </c>
      <c r="Y5" s="13">
        <f>BL_pooling!AS31</f>
        <v>0</v>
      </c>
      <c r="Z5" s="13">
        <f>BL_pooling!AT31</f>
        <v>0</v>
      </c>
      <c r="AA5" s="13">
        <f>BL_pooling!AU31</f>
        <v>0</v>
      </c>
      <c r="AB5" s="13">
        <f>BL_pooling!AV31</f>
        <v>0</v>
      </c>
      <c r="AC5" s="13">
        <f>BL_pooling!AW31</f>
        <v>0</v>
      </c>
      <c r="AJ5" s="195">
        <v>28.74730808665667</v>
      </c>
      <c r="AK5" s="195">
        <v>63.8511987957</v>
      </c>
      <c r="AL5" s="195">
        <v>204.29577468902579</v>
      </c>
      <c r="AM5" s="195">
        <v>1639</v>
      </c>
      <c r="AN5" s="195">
        <v>0.81926792333335818</v>
      </c>
      <c r="AO5" s="195">
        <v>0.69988305776080684</v>
      </c>
      <c r="AP5" s="195">
        <v>0.99295246766456513</v>
      </c>
      <c r="AQ5" s="195">
        <v>0.52939276485788112</v>
      </c>
      <c r="BC5" s="278" t="s">
        <v>281</v>
      </c>
      <c r="BD5" s="278"/>
      <c r="BE5" s="278"/>
      <c r="BF5" s="278"/>
      <c r="BG5" s="278"/>
      <c r="BH5" s="278"/>
      <c r="BI5" s="278"/>
      <c r="BR5" s="195" t="s">
        <v>226</v>
      </c>
      <c r="BS5" s="195" t="s">
        <v>233</v>
      </c>
      <c r="BT5" s="370" t="s">
        <v>238</v>
      </c>
      <c r="BU5" s="370"/>
      <c r="BV5" s="370"/>
      <c r="BW5" s="370"/>
      <c r="BZ5" s="248"/>
      <c r="CA5" s="388" t="s">
        <v>56</v>
      </c>
      <c r="CB5" s="249">
        <v>7</v>
      </c>
      <c r="CC5" s="245">
        <v>3</v>
      </c>
      <c r="CD5" s="245">
        <v>1</v>
      </c>
      <c r="CE5" s="245" t="s">
        <v>150</v>
      </c>
      <c r="CF5" s="245">
        <v>4</v>
      </c>
      <c r="CG5" s="12">
        <f>CF5/$CI$5</f>
        <v>0.19047619047619047</v>
      </c>
      <c r="CH5" t="s">
        <v>56</v>
      </c>
      <c r="CI5" s="195">
        <f>SUM(CF5,CF7,CF9,CF11,CF13)</f>
        <v>21</v>
      </c>
    </row>
    <row r="6" spans="1:108" ht="16.2" thickBot="1" x14ac:dyDescent="0.35">
      <c r="A6" s="195" t="s">
        <v>337</v>
      </c>
      <c r="B6" s="453">
        <v>3</v>
      </c>
      <c r="C6" s="273">
        <v>0.16211957673832289</v>
      </c>
      <c r="D6" s="273">
        <v>0.16211957673832289</v>
      </c>
      <c r="E6" s="273">
        <v>0.16211957673832289</v>
      </c>
      <c r="F6" s="273">
        <v>0.16211957673832289</v>
      </c>
      <c r="G6" s="273">
        <v>0.16211957673832289</v>
      </c>
      <c r="H6" s="273">
        <v>0.16211957673832289</v>
      </c>
      <c r="I6" s="273">
        <v>0.16211957673832289</v>
      </c>
      <c r="J6" s="273">
        <v>0.16211957673832289</v>
      </c>
      <c r="K6" s="273">
        <v>0.16211957673832289</v>
      </c>
      <c r="L6" s="273">
        <v>0.16211957673832289</v>
      </c>
      <c r="M6" s="273">
        <v>0.16211957673832289</v>
      </c>
      <c r="N6" s="273">
        <v>0.16211957673832289</v>
      </c>
      <c r="Q6" s="195">
        <v>19</v>
      </c>
      <c r="R6" s="13">
        <f>BL_pooling!AL32</f>
        <v>0</v>
      </c>
      <c r="S6" s="13">
        <f>BL_pooling!AM32</f>
        <v>0</v>
      </c>
      <c r="T6" s="13">
        <f>BL_pooling!AN32</f>
        <v>0</v>
      </c>
      <c r="U6" s="13">
        <f>BL_pooling!AO32</f>
        <v>0</v>
      </c>
      <c r="V6" s="13">
        <f>BL_pooling!AP32</f>
        <v>0</v>
      </c>
      <c r="W6" s="13">
        <f>BL_pooling!AQ32</f>
        <v>0</v>
      </c>
      <c r="X6" s="13">
        <f>BL_pooling!AR32</f>
        <v>0</v>
      </c>
      <c r="Y6" s="13">
        <f>BL_pooling!AS32</f>
        <v>0</v>
      </c>
      <c r="Z6" s="13">
        <f>BL_pooling!AT32</f>
        <v>0</v>
      </c>
      <c r="AA6" s="13">
        <f>BL_pooling!AU32</f>
        <v>0</v>
      </c>
      <c r="AB6" s="13">
        <f>BL_pooling!AV32</f>
        <v>0</v>
      </c>
      <c r="AC6" s="13">
        <f>BL_pooling!AW32</f>
        <v>0</v>
      </c>
      <c r="AJ6" s="195">
        <v>25.046200162476669</v>
      </c>
      <c r="AK6" s="195">
        <v>76.440869484499999</v>
      </c>
      <c r="AL6" s="195">
        <v>193.14577468902581</v>
      </c>
      <c r="AM6" s="195">
        <v>2431</v>
      </c>
      <c r="AN6" s="195">
        <v>0.71379025586149458</v>
      </c>
      <c r="AO6" s="195">
        <v>0.83788042326167711</v>
      </c>
      <c r="AP6" s="195">
        <v>0.9387593741886352</v>
      </c>
      <c r="AQ6" s="195">
        <v>0.78520671834625322</v>
      </c>
      <c r="BC6" s="602" t="s">
        <v>148</v>
      </c>
      <c r="BD6" s="603"/>
      <c r="BE6" s="604"/>
      <c r="BF6" s="407">
        <v>2017</v>
      </c>
      <c r="BG6" s="407">
        <v>2018</v>
      </c>
      <c r="BH6" s="407">
        <v>2019</v>
      </c>
      <c r="BI6" s="406" t="s">
        <v>149</v>
      </c>
      <c r="BR6" s="195" t="s">
        <v>226</v>
      </c>
      <c r="BS6" s="195" t="s">
        <v>234</v>
      </c>
      <c r="BT6" s="195" t="s">
        <v>237</v>
      </c>
      <c r="BU6" s="390">
        <v>-0.19593224412688001</v>
      </c>
      <c r="BV6" s="13">
        <v>0</v>
      </c>
      <c r="BW6" s="13">
        <v>0</v>
      </c>
      <c r="BZ6" s="605">
        <v>1</v>
      </c>
      <c r="CA6" s="387" t="s">
        <v>57</v>
      </c>
      <c r="CB6" s="244">
        <v>5</v>
      </c>
      <c r="CC6" s="245">
        <v>2</v>
      </c>
      <c r="CD6" s="245">
        <v>8</v>
      </c>
      <c r="CE6" s="245">
        <v>4</v>
      </c>
      <c r="CF6" s="245">
        <v>14</v>
      </c>
      <c r="CG6" s="12">
        <f>CF6/$CI$4</f>
        <v>0.42424242424242425</v>
      </c>
    </row>
    <row r="7" spans="1:108" ht="16.2" thickBot="1" x14ac:dyDescent="0.35">
      <c r="B7" s="452"/>
      <c r="C7" s="273">
        <v>0</v>
      </c>
      <c r="D7" s="274">
        <v>0</v>
      </c>
      <c r="E7" s="274">
        <v>0</v>
      </c>
      <c r="F7" s="274">
        <v>0</v>
      </c>
      <c r="G7" s="274">
        <v>0</v>
      </c>
      <c r="H7" s="274">
        <v>0</v>
      </c>
      <c r="I7" s="274">
        <v>0</v>
      </c>
      <c r="J7" s="274">
        <v>0</v>
      </c>
      <c r="K7" s="274">
        <v>0</v>
      </c>
      <c r="L7" s="274">
        <v>0</v>
      </c>
      <c r="M7" s="274">
        <v>0</v>
      </c>
      <c r="N7" s="274">
        <v>0</v>
      </c>
      <c r="Q7" s="195">
        <v>18</v>
      </c>
      <c r="R7" s="13">
        <f>BL_pooling!AL33</f>
        <v>0</v>
      </c>
      <c r="S7" s="13">
        <f>BL_pooling!AM33</f>
        <v>0</v>
      </c>
      <c r="T7" s="13">
        <f>BL_pooling!AN33</f>
        <v>0</v>
      </c>
      <c r="U7" s="13">
        <f>BL_pooling!AO33</f>
        <v>0</v>
      </c>
      <c r="V7" s="13">
        <f>BL_pooling!AP33</f>
        <v>0</v>
      </c>
      <c r="W7" s="13">
        <f>BL_pooling!AQ33</f>
        <v>0</v>
      </c>
      <c r="X7" s="13">
        <f>BL_pooling!AR33</f>
        <v>0</v>
      </c>
      <c r="Y7" s="13">
        <f>BL_pooling!AS33</f>
        <v>0</v>
      </c>
      <c r="Z7" s="13">
        <f>BL_pooling!AT33</f>
        <v>0</v>
      </c>
      <c r="AA7" s="13">
        <f>BL_pooling!AU33</f>
        <v>0</v>
      </c>
      <c r="AB7" s="13">
        <f>BL_pooling!AV33</f>
        <v>0</v>
      </c>
      <c r="AC7" s="13">
        <f>BL_pooling!AW33</f>
        <v>0</v>
      </c>
      <c r="BC7" s="408" t="s">
        <v>151</v>
      </c>
      <c r="BD7" s="410"/>
      <c r="BE7" s="244">
        <v>5</v>
      </c>
      <c r="BF7" s="245">
        <v>2</v>
      </c>
      <c r="BG7" s="245">
        <v>3</v>
      </c>
      <c r="BH7" s="245">
        <v>3</v>
      </c>
      <c r="BI7" s="245">
        <f t="shared" ref="BI7:BI12" si="0">SUM(BF7:BH7)</f>
        <v>8</v>
      </c>
      <c r="BJ7" s="401">
        <f>BI7/SUM(BI7,BI9)</f>
        <v>0.88888888888888884</v>
      </c>
      <c r="BK7" s="12">
        <f>SUM(BI7:BI8)/SUM($BI$7:$BI$12)</f>
        <v>0.86486486486486491</v>
      </c>
      <c r="BR7" s="195" t="s">
        <v>226</v>
      </c>
      <c r="BS7" s="195" t="s">
        <v>235</v>
      </c>
      <c r="BT7" s="195" t="s">
        <v>239</v>
      </c>
      <c r="BU7" s="13">
        <v>0</v>
      </c>
      <c r="BV7" s="390">
        <v>-0.129440998945165</v>
      </c>
      <c r="BW7" s="13">
        <v>0</v>
      </c>
      <c r="BZ7" s="606"/>
      <c r="CA7" s="388" t="s">
        <v>56</v>
      </c>
      <c r="CB7" s="244">
        <v>7</v>
      </c>
      <c r="CC7" s="245">
        <v>1</v>
      </c>
      <c r="CD7" s="245">
        <v>6</v>
      </c>
      <c r="CE7" s="245">
        <v>4</v>
      </c>
      <c r="CF7" s="245">
        <v>11</v>
      </c>
      <c r="CG7" s="12">
        <f>CF7/$CI$5</f>
        <v>0.52380952380952384</v>
      </c>
    </row>
    <row r="8" spans="1:108" ht="16.2" thickBot="1" x14ac:dyDescent="0.35">
      <c r="B8" s="453"/>
      <c r="C8" s="273">
        <v>0</v>
      </c>
      <c r="D8" s="274">
        <v>0</v>
      </c>
      <c r="E8" s="274">
        <v>0</v>
      </c>
      <c r="F8" s="274">
        <v>0</v>
      </c>
      <c r="G8" s="274">
        <v>0</v>
      </c>
      <c r="H8" s="274">
        <v>0</v>
      </c>
      <c r="I8" s="274">
        <v>0</v>
      </c>
      <c r="J8" s="274">
        <v>0</v>
      </c>
      <c r="K8" s="274">
        <v>0</v>
      </c>
      <c r="L8" s="274">
        <v>0</v>
      </c>
      <c r="M8" s="274">
        <v>0</v>
      </c>
      <c r="N8" s="274">
        <v>0</v>
      </c>
      <c r="Q8" s="195">
        <v>17</v>
      </c>
      <c r="R8" s="13">
        <f>BL_pooling!AL34</f>
        <v>0</v>
      </c>
      <c r="S8" s="13">
        <f>BL_pooling!AM34</f>
        <v>0</v>
      </c>
      <c r="T8" s="13">
        <f>BL_pooling!AN34</f>
        <v>0</v>
      </c>
      <c r="U8" s="13">
        <f>BL_pooling!AO34</f>
        <v>0</v>
      </c>
      <c r="V8" s="13">
        <f>BL_pooling!AP34</f>
        <v>0</v>
      </c>
      <c r="W8" s="13">
        <f>BL_pooling!AQ34</f>
        <v>0</v>
      </c>
      <c r="X8" s="13">
        <f>BL_pooling!AR34</f>
        <v>0</v>
      </c>
      <c r="Y8" s="13">
        <f>BL_pooling!AS34</f>
        <v>0</v>
      </c>
      <c r="Z8" s="13">
        <f>BL_pooling!AT34</f>
        <v>0</v>
      </c>
      <c r="AA8" s="13">
        <f>BL_pooling!AU34</f>
        <v>0</v>
      </c>
      <c r="AB8" s="13">
        <f>BL_pooling!AV34</f>
        <v>0</v>
      </c>
      <c r="AC8" s="13">
        <f>BL_pooling!AW34</f>
        <v>0</v>
      </c>
      <c r="BC8" s="411"/>
      <c r="BD8" s="412"/>
      <c r="BE8" s="249">
        <v>7</v>
      </c>
      <c r="BF8" s="245">
        <v>9</v>
      </c>
      <c r="BG8" s="245">
        <v>7</v>
      </c>
      <c r="BH8" s="245">
        <v>8</v>
      </c>
      <c r="BI8" s="245">
        <f t="shared" si="0"/>
        <v>24</v>
      </c>
      <c r="BJ8" s="12">
        <f>BI8/SUM($BI$8,$BI$10,$BI$11,$BI$12)</f>
        <v>0.8571428571428571</v>
      </c>
      <c r="BR8" s="195" t="s">
        <v>226</v>
      </c>
      <c r="BS8" s="195" t="s">
        <v>236</v>
      </c>
      <c r="BT8" s="195" t="s">
        <v>240</v>
      </c>
      <c r="BU8" s="13">
        <v>0</v>
      </c>
      <c r="BV8" s="13">
        <v>0</v>
      </c>
      <c r="BW8" s="390">
        <v>-0.29684095860566451</v>
      </c>
      <c r="BZ8" s="386">
        <v>2</v>
      </c>
      <c r="CA8" s="387" t="s">
        <v>57</v>
      </c>
      <c r="CB8" s="244">
        <v>5</v>
      </c>
      <c r="CC8" s="245" t="s">
        <v>150</v>
      </c>
      <c r="CD8" s="245">
        <v>1</v>
      </c>
      <c r="CE8" s="245">
        <v>1</v>
      </c>
      <c r="CF8" s="245">
        <v>2</v>
      </c>
      <c r="CG8" s="12">
        <f>CF8/$CI$4</f>
        <v>6.0606060606060608E-2</v>
      </c>
    </row>
    <row r="9" spans="1:108" ht="16.2" thickBot="1" x14ac:dyDescent="0.35">
      <c r="B9" s="453"/>
      <c r="C9" s="273">
        <v>0</v>
      </c>
      <c r="D9" s="274">
        <v>0</v>
      </c>
      <c r="E9" s="274">
        <v>0</v>
      </c>
      <c r="F9" s="274">
        <v>0</v>
      </c>
      <c r="G9" s="274">
        <v>0</v>
      </c>
      <c r="H9" s="274">
        <v>0</v>
      </c>
      <c r="I9" s="274">
        <v>0</v>
      </c>
      <c r="J9" s="274">
        <v>0</v>
      </c>
      <c r="K9" s="274">
        <v>0</v>
      </c>
      <c r="L9" s="274">
        <v>0</v>
      </c>
      <c r="M9" s="274">
        <v>0</v>
      </c>
      <c r="N9" s="274">
        <v>0</v>
      </c>
      <c r="Q9" s="195">
        <v>16</v>
      </c>
      <c r="R9" s="13">
        <f>BL_pooling!AL35</f>
        <v>0</v>
      </c>
      <c r="S9" s="13">
        <f>BL_pooling!AM35</f>
        <v>0</v>
      </c>
      <c r="T9" s="13">
        <f>BL_pooling!AN35</f>
        <v>0</v>
      </c>
      <c r="U9" s="13">
        <f>BL_pooling!AO35</f>
        <v>0</v>
      </c>
      <c r="V9" s="13">
        <f>BL_pooling!AP35</f>
        <v>0</v>
      </c>
      <c r="W9" s="13">
        <f>BL_pooling!AQ35</f>
        <v>0</v>
      </c>
      <c r="X9" s="13">
        <f>BL_pooling!AR35</f>
        <v>0</v>
      </c>
      <c r="Y9" s="13">
        <f>BL_pooling!AS35</f>
        <v>0</v>
      </c>
      <c r="Z9" s="13">
        <f>BL_pooling!AT35</f>
        <v>0</v>
      </c>
      <c r="AA9" s="13">
        <f>BL_pooling!AU35</f>
        <v>0</v>
      </c>
      <c r="AB9" s="13">
        <f>BL_pooling!AV35</f>
        <v>0</v>
      </c>
      <c r="AC9" s="13">
        <f>BL_pooling!AW35</f>
        <v>0</v>
      </c>
      <c r="BC9" s="605">
        <v>1</v>
      </c>
      <c r="BD9" s="607"/>
      <c r="BE9" s="244">
        <v>5</v>
      </c>
      <c r="BF9" s="245" t="s">
        <v>150</v>
      </c>
      <c r="BG9" s="245">
        <v>1</v>
      </c>
      <c r="BH9" s="245" t="s">
        <v>150</v>
      </c>
      <c r="BI9" s="245">
        <f t="shared" si="0"/>
        <v>1</v>
      </c>
      <c r="BJ9" s="402">
        <f>BI9/SUM(BI7,BI9)</f>
        <v>0.1111111111111111</v>
      </c>
      <c r="BK9" s="12">
        <f>SUM(BI9:BI10)/SUM($BI$7:$BI$12)</f>
        <v>8.1081081081081086E-2</v>
      </c>
      <c r="BR9" s="195" t="s">
        <v>226</v>
      </c>
      <c r="BS9" s="195" t="s">
        <v>207</v>
      </c>
      <c r="BT9" s="370" t="s">
        <v>247</v>
      </c>
      <c r="BU9" s="370"/>
      <c r="BV9" s="370"/>
      <c r="BW9" s="370"/>
      <c r="BZ9" s="247"/>
      <c r="CA9" s="388" t="s">
        <v>56</v>
      </c>
      <c r="CB9" s="244">
        <v>7</v>
      </c>
      <c r="CC9" s="245">
        <v>1</v>
      </c>
      <c r="CD9" s="245" t="s">
        <v>150</v>
      </c>
      <c r="CE9" s="245">
        <v>2</v>
      </c>
      <c r="CF9" s="245">
        <v>3</v>
      </c>
      <c r="CG9" s="12">
        <f>CF9/$CI$5</f>
        <v>0.14285714285714285</v>
      </c>
    </row>
    <row r="10" spans="1:108" ht="24" thickBot="1" x14ac:dyDescent="0.5">
      <c r="B10" s="452"/>
      <c r="C10" s="273">
        <v>0</v>
      </c>
      <c r="D10" s="274">
        <v>0</v>
      </c>
      <c r="E10" s="274">
        <v>0</v>
      </c>
      <c r="F10" s="274">
        <v>0</v>
      </c>
      <c r="G10" s="274">
        <v>0</v>
      </c>
      <c r="H10" s="274">
        <v>0</v>
      </c>
      <c r="I10" s="274">
        <v>0</v>
      </c>
      <c r="J10" s="274">
        <v>0</v>
      </c>
      <c r="K10" s="274">
        <v>0</v>
      </c>
      <c r="L10" s="274">
        <v>0</v>
      </c>
      <c r="M10" s="274">
        <v>0</v>
      </c>
      <c r="N10" s="274">
        <v>0</v>
      </c>
      <c r="Q10" s="195">
        <v>15</v>
      </c>
      <c r="R10" s="13">
        <f>BL_pooling!AL36</f>
        <v>0</v>
      </c>
      <c r="S10" s="13">
        <f>BL_pooling!AM36</f>
        <v>0</v>
      </c>
      <c r="T10" s="13">
        <f>BL_pooling!AN36</f>
        <v>0</v>
      </c>
      <c r="U10" s="13">
        <f>BL_pooling!AO36</f>
        <v>0</v>
      </c>
      <c r="V10" s="13">
        <f>BL_pooling!AP36</f>
        <v>0</v>
      </c>
      <c r="W10" s="13">
        <f>BL_pooling!AQ36</f>
        <v>0</v>
      </c>
      <c r="X10" s="13">
        <f>BL_pooling!AR36</f>
        <v>0</v>
      </c>
      <c r="Y10" s="13">
        <f>BL_pooling!AS36</f>
        <v>0</v>
      </c>
      <c r="Z10" s="13">
        <f>BL_pooling!AT36</f>
        <v>0</v>
      </c>
      <c r="AA10" s="13">
        <f>BL_pooling!AU36</f>
        <v>0</v>
      </c>
      <c r="AB10" s="13">
        <f>BL_pooling!AV36</f>
        <v>0</v>
      </c>
      <c r="AC10" s="13">
        <f>BL_pooling!AW36</f>
        <v>0</v>
      </c>
      <c r="AI10" s="611" t="s">
        <v>349</v>
      </c>
      <c r="AJ10" s="611"/>
      <c r="AL10" s="611" t="s">
        <v>332</v>
      </c>
      <c r="AM10" s="611"/>
      <c r="AO10" s="611" t="s">
        <v>309</v>
      </c>
      <c r="AP10" s="611"/>
      <c r="AT10" s="611"/>
      <c r="AU10" s="611"/>
      <c r="BC10" s="606"/>
      <c r="BD10" s="608"/>
      <c r="BE10" s="244">
        <v>7</v>
      </c>
      <c r="BF10" s="245">
        <v>2</v>
      </c>
      <c r="BG10" s="245" t="s">
        <v>150</v>
      </c>
      <c r="BH10" s="245" t="s">
        <v>150</v>
      </c>
      <c r="BI10" s="245">
        <f t="shared" si="0"/>
        <v>2</v>
      </c>
      <c r="BJ10" s="12">
        <f>BI10/SUM($BI$8,$BI$10,$BI$11,$BI$12)</f>
        <v>7.1428571428571425E-2</v>
      </c>
      <c r="BR10" s="195" t="s">
        <v>226</v>
      </c>
      <c r="BS10" s="195" t="s">
        <v>241</v>
      </c>
      <c r="BT10" s="195" t="s">
        <v>244</v>
      </c>
      <c r="BU10" s="390">
        <v>-3.0259816408162301E-2</v>
      </c>
      <c r="BV10" s="13">
        <v>0</v>
      </c>
      <c r="BW10" s="13">
        <v>0</v>
      </c>
      <c r="BZ10" s="386">
        <v>3</v>
      </c>
      <c r="CA10" s="387" t="s">
        <v>57</v>
      </c>
      <c r="CB10" s="244">
        <v>5</v>
      </c>
      <c r="CC10" s="245" t="s">
        <v>150</v>
      </c>
      <c r="CD10" s="245">
        <v>1</v>
      </c>
      <c r="CE10" s="245">
        <v>2</v>
      </c>
      <c r="CF10" s="245">
        <v>3</v>
      </c>
      <c r="CG10" s="12">
        <f>CF10/$CI$4</f>
        <v>9.0909090909090912E-2</v>
      </c>
    </row>
    <row r="11" spans="1:108" ht="16.2" thickBot="1" x14ac:dyDescent="0.35">
      <c r="B11" s="453"/>
      <c r="C11" s="273">
        <v>0</v>
      </c>
      <c r="D11" s="274">
        <v>0</v>
      </c>
      <c r="E11" s="274">
        <v>0</v>
      </c>
      <c r="F11" s="274">
        <v>0</v>
      </c>
      <c r="G11" s="274">
        <v>0</v>
      </c>
      <c r="H11" s="274">
        <v>0</v>
      </c>
      <c r="I11" s="274">
        <v>0</v>
      </c>
      <c r="J11" s="274">
        <v>0</v>
      </c>
      <c r="K11" s="274">
        <v>0</v>
      </c>
      <c r="L11" s="274">
        <v>0</v>
      </c>
      <c r="M11" s="274">
        <v>0</v>
      </c>
      <c r="N11" s="274">
        <v>0</v>
      </c>
      <c r="Q11" s="195">
        <v>14</v>
      </c>
      <c r="R11" s="13">
        <f>BL_pooling!AL37</f>
        <v>0</v>
      </c>
      <c r="S11" s="13">
        <f>BL_pooling!AM37</f>
        <v>0</v>
      </c>
      <c r="T11" s="13">
        <f>BL_pooling!AN37</f>
        <v>0</v>
      </c>
      <c r="U11" s="13">
        <f>BL_pooling!AO37</f>
        <v>0</v>
      </c>
      <c r="V11" s="13">
        <f>BL_pooling!AP37</f>
        <v>0</v>
      </c>
      <c r="W11" s="13">
        <f>BL_pooling!AQ37</f>
        <v>0</v>
      </c>
      <c r="X11" s="13">
        <f>BL_pooling!AR37</f>
        <v>0</v>
      </c>
      <c r="Y11" s="13">
        <f>BL_pooling!AS37</f>
        <v>0</v>
      </c>
      <c r="Z11" s="13">
        <f>BL_pooling!AT37</f>
        <v>0</v>
      </c>
      <c r="AA11" s="13">
        <f>BL_pooling!AU37</f>
        <v>0</v>
      </c>
      <c r="AB11" s="13">
        <f>BL_pooling!AV37</f>
        <v>0</v>
      </c>
      <c r="AC11" s="13">
        <f>BL_pooling!AW37</f>
        <v>0</v>
      </c>
      <c r="AI11" s="612" t="s">
        <v>88</v>
      </c>
      <c r="AJ11" s="612"/>
      <c r="AO11" s="612" t="s">
        <v>88</v>
      </c>
      <c r="AP11" s="612"/>
      <c r="BC11" s="409">
        <v>2</v>
      </c>
      <c r="BD11" s="244"/>
      <c r="BE11" s="244">
        <v>7</v>
      </c>
      <c r="BF11" s="245">
        <v>1</v>
      </c>
      <c r="BG11" s="245" t="s">
        <v>150</v>
      </c>
      <c r="BH11" s="245" t="s">
        <v>150</v>
      </c>
      <c r="BI11" s="245">
        <f t="shared" si="0"/>
        <v>1</v>
      </c>
      <c r="BJ11" s="12">
        <f>BI11/SUM($BI$8,$BI$10,$BI$11,$BI$12)</f>
        <v>3.5714285714285712E-2</v>
      </c>
      <c r="BK11" s="12">
        <f>SUM(BI11)/SUM($BI$7:$BI$12)</f>
        <v>2.7027027027027029E-2</v>
      </c>
      <c r="BR11" s="195" t="s">
        <v>226</v>
      </c>
      <c r="BS11" s="195" t="s">
        <v>242</v>
      </c>
      <c r="BT11" s="195" t="s">
        <v>245</v>
      </c>
      <c r="BU11" s="13">
        <v>0</v>
      </c>
      <c r="BV11" s="13">
        <v>0</v>
      </c>
      <c r="BW11" s="13">
        <v>0</v>
      </c>
      <c r="BZ11" s="247"/>
      <c r="CA11" s="388" t="s">
        <v>56</v>
      </c>
      <c r="CB11" s="244">
        <v>7</v>
      </c>
      <c r="CC11" s="245" t="s">
        <v>150</v>
      </c>
      <c r="CD11" s="245">
        <v>1</v>
      </c>
      <c r="CE11" s="245">
        <v>1</v>
      </c>
      <c r="CF11" s="245">
        <v>2</v>
      </c>
      <c r="CG11" s="12">
        <f>CF11/$CI$5</f>
        <v>9.5238095238095233E-2</v>
      </c>
    </row>
    <row r="12" spans="1:108" ht="16.2" thickBot="1" x14ac:dyDescent="0.35">
      <c r="B12" s="453"/>
      <c r="C12" s="273">
        <v>0</v>
      </c>
      <c r="D12" s="274">
        <v>0</v>
      </c>
      <c r="E12" s="274">
        <v>0</v>
      </c>
      <c r="F12" s="274">
        <v>0</v>
      </c>
      <c r="G12" s="274">
        <v>0</v>
      </c>
      <c r="H12" s="274">
        <v>0</v>
      </c>
      <c r="I12" s="274">
        <v>0</v>
      </c>
      <c r="J12" s="274">
        <v>0</v>
      </c>
      <c r="K12" s="274">
        <v>0</v>
      </c>
      <c r="L12" s="274">
        <v>0</v>
      </c>
      <c r="M12" s="274">
        <v>0</v>
      </c>
      <c r="N12" s="274">
        <v>0</v>
      </c>
      <c r="Q12" s="195">
        <v>13</v>
      </c>
      <c r="R12" s="13">
        <f>BL_pooling!AL38</f>
        <v>0</v>
      </c>
      <c r="S12" s="13">
        <f>BL_pooling!AM38</f>
        <v>0</v>
      </c>
      <c r="T12" s="13">
        <f>BL_pooling!AN38</f>
        <v>0</v>
      </c>
      <c r="U12" s="13">
        <f>BL_pooling!AO38</f>
        <v>0</v>
      </c>
      <c r="V12" s="13">
        <f>BL_pooling!AP38</f>
        <v>0</v>
      </c>
      <c r="W12" s="13">
        <f>BL_pooling!AQ38</f>
        <v>0</v>
      </c>
      <c r="X12" s="13">
        <f>BL_pooling!AR38</f>
        <v>0</v>
      </c>
      <c r="Y12" s="13">
        <f>BL_pooling!AS38</f>
        <v>0</v>
      </c>
      <c r="Z12" s="13">
        <f>BL_pooling!AT38</f>
        <v>0</v>
      </c>
      <c r="AA12" s="13">
        <f>BL_pooling!AU38</f>
        <v>0</v>
      </c>
      <c r="AB12" s="13">
        <f>BL_pooling!AV38</f>
        <v>0</v>
      </c>
      <c r="AC12" s="13">
        <f>BL_pooling!AW38</f>
        <v>0</v>
      </c>
      <c r="AI12" s="415" t="s">
        <v>313</v>
      </c>
      <c r="AJ12" s="454">
        <f>1-AQ4</f>
        <v>0</v>
      </c>
      <c r="AO12" s="415" t="s">
        <v>316</v>
      </c>
      <c r="AP12" s="454">
        <f>1-AP4</f>
        <v>0</v>
      </c>
      <c r="BC12" s="409">
        <v>3</v>
      </c>
      <c r="BD12" s="244"/>
      <c r="BE12" s="244">
        <v>7</v>
      </c>
      <c r="BF12" s="245" t="s">
        <v>150</v>
      </c>
      <c r="BG12" s="245">
        <v>1</v>
      </c>
      <c r="BH12" s="245" t="s">
        <v>150</v>
      </c>
      <c r="BI12" s="245">
        <f t="shared" si="0"/>
        <v>1</v>
      </c>
      <c r="BJ12" s="12">
        <f>BI12/SUM($BI$8,$BI$10,$BI$11,$BI$12)</f>
        <v>3.5714285714285712E-2</v>
      </c>
      <c r="BK12" s="12">
        <f>SUM(BI12)/SUM($BI$7:$BI$12)</f>
        <v>2.7027027027027029E-2</v>
      </c>
      <c r="BR12" s="195" t="s">
        <v>226</v>
      </c>
      <c r="BS12" s="195" t="s">
        <v>243</v>
      </c>
      <c r="BT12" s="195" t="s">
        <v>246</v>
      </c>
      <c r="BU12" s="13">
        <v>0</v>
      </c>
      <c r="BV12" s="13">
        <v>0</v>
      </c>
      <c r="BW12" s="390">
        <v>-0.1143790849673203</v>
      </c>
      <c r="BZ12" s="247">
        <v>4</v>
      </c>
      <c r="CA12" s="387" t="s">
        <v>57</v>
      </c>
      <c r="CB12" s="244">
        <v>5</v>
      </c>
      <c r="CC12" s="245">
        <v>1</v>
      </c>
      <c r="CD12" s="245" t="s">
        <v>150</v>
      </c>
      <c r="CE12" s="245" t="s">
        <v>150</v>
      </c>
      <c r="CF12" s="245">
        <v>1</v>
      </c>
      <c r="CG12" s="12">
        <f>CF12/$CI$4</f>
        <v>3.0303030303030304E-2</v>
      </c>
    </row>
    <row r="13" spans="1:108" ht="16.2" thickBot="1" x14ac:dyDescent="0.35">
      <c r="B13" s="135"/>
      <c r="C13" s="273">
        <v>0</v>
      </c>
      <c r="D13" s="274">
        <v>0</v>
      </c>
      <c r="E13" s="274">
        <v>0</v>
      </c>
      <c r="F13" s="274">
        <v>0</v>
      </c>
      <c r="G13" s="274">
        <v>0</v>
      </c>
      <c r="H13" s="274">
        <v>0</v>
      </c>
      <c r="I13" s="274">
        <v>0</v>
      </c>
      <c r="J13" s="274">
        <v>0</v>
      </c>
      <c r="K13" s="274">
        <v>0</v>
      </c>
      <c r="L13" s="274">
        <v>0</v>
      </c>
      <c r="M13" s="274">
        <v>0</v>
      </c>
      <c r="N13" s="274">
        <v>0</v>
      </c>
      <c r="Q13" s="195">
        <v>12</v>
      </c>
      <c r="R13" s="13">
        <f>BL_pooling!AL39</f>
        <v>0</v>
      </c>
      <c r="S13" s="13">
        <f>BL_pooling!AM39</f>
        <v>0</v>
      </c>
      <c r="T13" s="13">
        <f>BL_pooling!AN39</f>
        <v>0</v>
      </c>
      <c r="U13" s="13">
        <f>BL_pooling!AO39</f>
        <v>0</v>
      </c>
      <c r="V13" s="13">
        <f>BL_pooling!AP39</f>
        <v>0</v>
      </c>
      <c r="W13" s="13">
        <f>BL_pooling!AQ39</f>
        <v>0</v>
      </c>
      <c r="X13" s="13">
        <f>BL_pooling!AR39</f>
        <v>0</v>
      </c>
      <c r="Y13" s="13">
        <f>BL_pooling!AS39</f>
        <v>0</v>
      </c>
      <c r="Z13" s="13">
        <f>BL_pooling!AT39</f>
        <v>0</v>
      </c>
      <c r="AA13" s="13">
        <f>BL_pooling!AU39</f>
        <v>0</v>
      </c>
      <c r="AB13" s="13">
        <f>BL_pooling!AV39</f>
        <v>0</v>
      </c>
      <c r="AC13" s="13">
        <f>BL_pooling!AW39</f>
        <v>0</v>
      </c>
      <c r="AI13" s="415" t="s">
        <v>314</v>
      </c>
      <c r="AJ13" s="454">
        <f>1-AQ5</f>
        <v>0.47060723514211888</v>
      </c>
      <c r="AO13" s="415" t="s">
        <v>312</v>
      </c>
      <c r="AP13" s="454">
        <f>1-AP5</f>
        <v>7.0475323354348696E-3</v>
      </c>
      <c r="BC13" s="278" t="s">
        <v>279</v>
      </c>
      <c r="BD13" s="278"/>
      <c r="BE13" s="278"/>
      <c r="BF13" s="72"/>
      <c r="BG13" s="72"/>
      <c r="BH13" s="72"/>
      <c r="BI13" s="72"/>
      <c r="BJ13" s="72"/>
      <c r="BR13" s="195" t="s">
        <v>226</v>
      </c>
      <c r="BS13" s="195" t="s">
        <v>208</v>
      </c>
      <c r="BT13" s="370" t="s">
        <v>248</v>
      </c>
      <c r="BU13" s="389"/>
      <c r="BV13" s="389"/>
      <c r="BW13" s="370"/>
      <c r="BZ13" s="247">
        <v>5</v>
      </c>
      <c r="CA13" s="388" t="s">
        <v>56</v>
      </c>
      <c r="CB13" s="244">
        <v>7</v>
      </c>
      <c r="CC13" s="245">
        <v>1</v>
      </c>
      <c r="CD13" s="245" t="s">
        <v>150</v>
      </c>
      <c r="CE13" s="245" t="s">
        <v>150</v>
      </c>
      <c r="CF13" s="245">
        <v>1</v>
      </c>
      <c r="CG13" s="12">
        <f>CF13/$CI$5</f>
        <v>4.7619047619047616E-2</v>
      </c>
    </row>
    <row r="14" spans="1:108" ht="16.2" thickBot="1" x14ac:dyDescent="0.35">
      <c r="B14" s="135"/>
      <c r="C14" s="273">
        <v>0</v>
      </c>
      <c r="D14" s="274">
        <v>0</v>
      </c>
      <c r="E14" s="274">
        <v>0</v>
      </c>
      <c r="F14" s="274">
        <v>0</v>
      </c>
      <c r="G14" s="274">
        <v>0</v>
      </c>
      <c r="H14" s="274">
        <v>0</v>
      </c>
      <c r="I14" s="274">
        <v>0</v>
      </c>
      <c r="J14" s="274">
        <v>0</v>
      </c>
      <c r="K14" s="274">
        <v>0</v>
      </c>
      <c r="L14" s="274">
        <v>0</v>
      </c>
      <c r="M14" s="274">
        <v>0</v>
      </c>
      <c r="N14" s="274">
        <v>0</v>
      </c>
      <c r="Q14" s="195">
        <v>11</v>
      </c>
      <c r="R14" s="13">
        <f>BL_pooling!AL40</f>
        <v>0</v>
      </c>
      <c r="S14" s="13">
        <f>BL_pooling!AM40</f>
        <v>0</v>
      </c>
      <c r="T14" s="13">
        <f>BL_pooling!AN40</f>
        <v>0</v>
      </c>
      <c r="U14" s="13">
        <f>BL_pooling!AO40</f>
        <v>0</v>
      </c>
      <c r="V14" s="13">
        <f>BL_pooling!AP40</f>
        <v>0</v>
      </c>
      <c r="W14" s="13">
        <f>BL_pooling!AQ40</f>
        <v>0</v>
      </c>
      <c r="X14" s="13">
        <f>BL_pooling!AR40</f>
        <v>0</v>
      </c>
      <c r="Y14" s="13">
        <f>BL_pooling!AS40</f>
        <v>0</v>
      </c>
      <c r="Z14" s="13">
        <f>BL_pooling!AT40</f>
        <v>0</v>
      </c>
      <c r="AA14" s="13">
        <f>BL_pooling!AU40</f>
        <v>0</v>
      </c>
      <c r="AB14" s="13">
        <f>BL_pooling!AV40</f>
        <v>0</v>
      </c>
      <c r="AC14" s="13">
        <f>BL_pooling!AW40</f>
        <v>0</v>
      </c>
      <c r="AI14" s="415" t="s">
        <v>315</v>
      </c>
      <c r="AJ14" s="454">
        <f t="shared" ref="AJ14" si="1">1-AQ6</f>
        <v>0.21479328165374678</v>
      </c>
      <c r="AO14" s="415" t="s">
        <v>311</v>
      </c>
      <c r="AP14" s="454">
        <f t="shared" ref="AP14" si="2">1-AP6</f>
        <v>6.1240625811364802E-2</v>
      </c>
      <c r="BC14" s="252" t="s">
        <v>152</v>
      </c>
      <c r="BD14" s="254" t="s">
        <v>154</v>
      </c>
      <c r="BE14" s="254" t="s">
        <v>28</v>
      </c>
      <c r="BF14" s="72"/>
      <c r="BG14" s="394"/>
      <c r="BH14" s="394"/>
      <c r="BI14" s="395"/>
      <c r="BJ14" s="72"/>
      <c r="BR14" s="195" t="s">
        <v>226</v>
      </c>
      <c r="BS14" s="195" t="s">
        <v>252</v>
      </c>
      <c r="BT14" s="195" t="s">
        <v>249</v>
      </c>
      <c r="BU14" s="13">
        <v>0</v>
      </c>
      <c r="BV14" s="13">
        <v>0</v>
      </c>
      <c r="BW14" s="13">
        <v>0</v>
      </c>
    </row>
    <row r="15" spans="1:108" ht="27" thickBot="1" x14ac:dyDescent="0.35">
      <c r="B15" s="135"/>
      <c r="C15" s="273">
        <v>0</v>
      </c>
      <c r="D15" s="274">
        <v>0</v>
      </c>
      <c r="E15" s="274">
        <v>0</v>
      </c>
      <c r="F15" s="274">
        <v>0</v>
      </c>
      <c r="G15" s="274">
        <v>0</v>
      </c>
      <c r="H15" s="274">
        <v>0</v>
      </c>
      <c r="I15" s="274">
        <v>0</v>
      </c>
      <c r="J15" s="274">
        <v>0</v>
      </c>
      <c r="K15" s="274">
        <v>0</v>
      </c>
      <c r="L15" s="274">
        <v>0</v>
      </c>
      <c r="M15" s="274">
        <v>0</v>
      </c>
      <c r="N15" s="274">
        <v>0</v>
      </c>
      <c r="Q15" s="195">
        <v>10</v>
      </c>
      <c r="R15" s="13">
        <f>BL_pooling!AL41</f>
        <v>0</v>
      </c>
      <c r="S15" s="13">
        <f>BL_pooling!AM41</f>
        <v>0</v>
      </c>
      <c r="T15" s="13">
        <f>BL_pooling!AN41</f>
        <v>0</v>
      </c>
      <c r="U15" s="13">
        <f>BL_pooling!AO41</f>
        <v>0</v>
      </c>
      <c r="V15" s="13">
        <f>BL_pooling!AP41</f>
        <v>0</v>
      </c>
      <c r="W15" s="13">
        <f>BL_pooling!AQ41</f>
        <v>0</v>
      </c>
      <c r="X15" s="13">
        <f>BL_pooling!AR41</f>
        <v>0</v>
      </c>
      <c r="Y15" s="13">
        <f>BL_pooling!AS41</f>
        <v>0</v>
      </c>
      <c r="Z15" s="13">
        <f>BL_pooling!AT41</f>
        <v>0</v>
      </c>
      <c r="AA15" s="13">
        <f>BL_pooling!AU41</f>
        <v>0</v>
      </c>
      <c r="AB15" s="13">
        <f>BL_pooling!AV41</f>
        <v>0</v>
      </c>
      <c r="AC15" s="13">
        <f>BL_pooling!AW41</f>
        <v>0</v>
      </c>
      <c r="BC15" s="255" t="s">
        <v>277</v>
      </c>
      <c r="BD15" s="256">
        <v>17.0303389</v>
      </c>
      <c r="BE15" s="398">
        <f>100%</f>
        <v>1</v>
      </c>
      <c r="BF15" s="72"/>
      <c r="BG15" s="396"/>
      <c r="BH15" s="396"/>
      <c r="BI15" s="397"/>
      <c r="BJ15" s="72"/>
      <c r="BR15" s="195" t="s">
        <v>226</v>
      </c>
      <c r="BS15" s="195" t="s">
        <v>253</v>
      </c>
      <c r="BT15" s="195" t="s">
        <v>250</v>
      </c>
      <c r="BU15" s="13">
        <v>0</v>
      </c>
      <c r="BV15" s="13">
        <v>0</v>
      </c>
      <c r="BW15" s="13">
        <v>0</v>
      </c>
    </row>
    <row r="16" spans="1:108" ht="27" thickBot="1" x14ac:dyDescent="0.35">
      <c r="B16" s="135"/>
      <c r="C16" s="273">
        <v>0</v>
      </c>
      <c r="D16" s="274">
        <v>0</v>
      </c>
      <c r="E16" s="274">
        <v>0</v>
      </c>
      <c r="F16" s="274">
        <v>0</v>
      </c>
      <c r="G16" s="274">
        <v>0</v>
      </c>
      <c r="H16" s="274">
        <v>0</v>
      </c>
      <c r="I16" s="274">
        <v>0</v>
      </c>
      <c r="J16" s="274">
        <v>0</v>
      </c>
      <c r="K16" s="274">
        <v>0</v>
      </c>
      <c r="L16" s="274">
        <v>0</v>
      </c>
      <c r="M16" s="274">
        <v>0</v>
      </c>
      <c r="N16" s="274">
        <v>0</v>
      </c>
      <c r="Q16" s="195">
        <v>9</v>
      </c>
      <c r="R16" s="13">
        <f>BL_pooling!AL42</f>
        <v>0</v>
      </c>
      <c r="S16" s="13">
        <f>BL_pooling!AM42</f>
        <v>0</v>
      </c>
      <c r="T16" s="13">
        <f>BL_pooling!AN42</f>
        <v>0</v>
      </c>
      <c r="U16" s="13">
        <f>BL_pooling!AO42</f>
        <v>0</v>
      </c>
      <c r="V16" s="13">
        <f>BL_pooling!AP42</f>
        <v>0</v>
      </c>
      <c r="W16" s="13">
        <f>BL_pooling!AQ42</f>
        <v>0</v>
      </c>
      <c r="X16" s="13">
        <f>BL_pooling!AR42</f>
        <v>0</v>
      </c>
      <c r="Y16" s="13">
        <f>BL_pooling!AS42</f>
        <v>0</v>
      </c>
      <c r="Z16" s="13">
        <f>BL_pooling!AT42</f>
        <v>0</v>
      </c>
      <c r="AA16" s="13">
        <f>BL_pooling!AU42</f>
        <v>0</v>
      </c>
      <c r="AB16" s="13">
        <f>BL_pooling!AV42</f>
        <v>0</v>
      </c>
      <c r="AC16" s="13">
        <f>BL_pooling!AW42</f>
        <v>0</v>
      </c>
      <c r="AI16" s="613" t="s">
        <v>310</v>
      </c>
      <c r="AJ16" s="613"/>
      <c r="AO16" s="613" t="s">
        <v>310</v>
      </c>
      <c r="AP16" s="613"/>
      <c r="BC16" s="255" t="s">
        <v>180</v>
      </c>
      <c r="BD16" s="256">
        <v>16.0234424</v>
      </c>
      <c r="BE16" s="399">
        <f>1-(BD16/BD15)</f>
        <v>5.9123691308339166E-2</v>
      </c>
      <c r="BF16" s="72"/>
      <c r="BG16" s="396"/>
      <c r="BH16" s="396"/>
      <c r="BI16" s="397"/>
      <c r="BJ16" s="72"/>
      <c r="BR16" s="195" t="s">
        <v>226</v>
      </c>
      <c r="BS16" s="195" t="s">
        <v>254</v>
      </c>
      <c r="BT16" s="195" t="s">
        <v>251</v>
      </c>
      <c r="BU16" s="13">
        <v>0</v>
      </c>
      <c r="BV16" s="13">
        <v>0</v>
      </c>
      <c r="BW16" s="390">
        <v>-5.4466230936819127E-2</v>
      </c>
      <c r="BZ16" s="278" t="s">
        <v>260</v>
      </c>
      <c r="CA16" s="278"/>
      <c r="CB16" s="278"/>
      <c r="CC16" s="278"/>
      <c r="CE16" s="278" t="s">
        <v>261</v>
      </c>
      <c r="CF16" s="278"/>
      <c r="CG16" s="278"/>
      <c r="CH16" s="278"/>
    </row>
    <row r="17" spans="1:86" ht="27" thickBot="1" x14ac:dyDescent="0.35">
      <c r="B17" s="135"/>
      <c r="C17" s="273">
        <v>0</v>
      </c>
      <c r="D17" s="274">
        <v>0</v>
      </c>
      <c r="E17" s="274">
        <v>0</v>
      </c>
      <c r="F17" s="274">
        <v>0</v>
      </c>
      <c r="G17" s="274">
        <v>0</v>
      </c>
      <c r="H17" s="274">
        <v>0</v>
      </c>
      <c r="I17" s="274">
        <v>0</v>
      </c>
      <c r="J17" s="274">
        <v>0</v>
      </c>
      <c r="K17" s="274">
        <v>0</v>
      </c>
      <c r="L17" s="274">
        <v>0</v>
      </c>
      <c r="M17" s="274">
        <v>0</v>
      </c>
      <c r="N17" s="274">
        <v>0</v>
      </c>
      <c r="Q17" s="195">
        <v>8</v>
      </c>
      <c r="R17" s="13">
        <f>BL_pooling!AL43</f>
        <v>0</v>
      </c>
      <c r="S17" s="13">
        <f>BL_pooling!AM43</f>
        <v>0</v>
      </c>
      <c r="T17" s="13">
        <f>BL_pooling!AN43</f>
        <v>0</v>
      </c>
      <c r="U17" s="13">
        <f>BL_pooling!AO43</f>
        <v>0</v>
      </c>
      <c r="V17" s="13">
        <f>BL_pooling!AP43</f>
        <v>0</v>
      </c>
      <c r="W17" s="13">
        <f>BL_pooling!AQ43</f>
        <v>0</v>
      </c>
      <c r="X17" s="13">
        <f>BL_pooling!AR43</f>
        <v>0</v>
      </c>
      <c r="Y17" s="13">
        <f>BL_pooling!AS43</f>
        <v>0</v>
      </c>
      <c r="Z17" s="13">
        <f>BL_pooling!AT43</f>
        <v>0</v>
      </c>
      <c r="AA17" s="13">
        <f>BL_pooling!AU43</f>
        <v>0</v>
      </c>
      <c r="AB17" s="13">
        <f>BL_pooling!AV43</f>
        <v>0</v>
      </c>
      <c r="AC17" s="13">
        <f>BL_pooling!AW43</f>
        <v>0</v>
      </c>
      <c r="AI17" s="415" t="s">
        <v>313</v>
      </c>
      <c r="AJ17" s="454">
        <f>1-AO4</f>
        <v>0</v>
      </c>
      <c r="AO17" s="415" t="s">
        <v>316</v>
      </c>
      <c r="AP17" s="454">
        <f>1-AN4</f>
        <v>0</v>
      </c>
      <c r="BC17" s="257" t="s">
        <v>181</v>
      </c>
      <c r="BD17" s="259">
        <v>17.0303389</v>
      </c>
      <c r="BE17" s="399">
        <f>1-(BD17/BD17)</f>
        <v>0</v>
      </c>
      <c r="BF17" s="72"/>
      <c r="BG17" s="72"/>
      <c r="BH17" s="72"/>
      <c r="BI17" s="72"/>
      <c r="BJ17" s="72"/>
      <c r="BM17" s="281"/>
      <c r="BN17" s="13"/>
      <c r="BR17" s="195" t="s">
        <v>226</v>
      </c>
      <c r="BS17" s="195" t="s">
        <v>255</v>
      </c>
      <c r="BT17" s="370" t="s">
        <v>256</v>
      </c>
      <c r="BU17" s="370"/>
      <c r="BV17" s="370"/>
      <c r="BW17" s="370"/>
      <c r="BZ17" s="252" t="s">
        <v>152</v>
      </c>
      <c r="CA17" s="253" t="s">
        <v>153</v>
      </c>
      <c r="CB17" s="254" t="s">
        <v>154</v>
      </c>
      <c r="CE17" s="252" t="s">
        <v>152</v>
      </c>
      <c r="CF17" s="253" t="s">
        <v>153</v>
      </c>
      <c r="CG17" s="254" t="s">
        <v>154</v>
      </c>
      <c r="CH17" s="195"/>
    </row>
    <row r="18" spans="1:86" ht="16.2" thickBot="1" x14ac:dyDescent="0.35">
      <c r="B18" s="135"/>
      <c r="C18" s="273">
        <v>0</v>
      </c>
      <c r="D18" s="274">
        <v>0</v>
      </c>
      <c r="E18" s="274">
        <v>0</v>
      </c>
      <c r="F18" s="274">
        <v>0</v>
      </c>
      <c r="G18" s="274">
        <v>0</v>
      </c>
      <c r="H18" s="274">
        <v>0</v>
      </c>
      <c r="I18" s="274">
        <v>0</v>
      </c>
      <c r="J18" s="274">
        <v>0</v>
      </c>
      <c r="K18" s="274">
        <v>0</v>
      </c>
      <c r="L18" s="274">
        <v>0</v>
      </c>
      <c r="M18" s="274">
        <v>0</v>
      </c>
      <c r="N18" s="274">
        <v>0</v>
      </c>
      <c r="Q18" s="195">
        <v>7</v>
      </c>
      <c r="R18" s="13">
        <f>BL_pooling!AL44</f>
        <v>0</v>
      </c>
      <c r="S18" s="13">
        <f>BL_pooling!AM44</f>
        <v>0</v>
      </c>
      <c r="T18" s="13">
        <f>BL_pooling!AN44</f>
        <v>0</v>
      </c>
      <c r="U18" s="13">
        <f>BL_pooling!AO44</f>
        <v>0</v>
      </c>
      <c r="V18" s="13">
        <f>BL_pooling!AP44</f>
        <v>0</v>
      </c>
      <c r="W18" s="13">
        <f>BL_pooling!AQ44</f>
        <v>0</v>
      </c>
      <c r="X18" s="13">
        <f>BL_pooling!AR44</f>
        <v>0</v>
      </c>
      <c r="Y18" s="13">
        <f>BL_pooling!AS44</f>
        <v>0</v>
      </c>
      <c r="Z18" s="13">
        <f>BL_pooling!AT44</f>
        <v>0</v>
      </c>
      <c r="AA18" s="13">
        <f>BL_pooling!AU44</f>
        <v>0</v>
      </c>
      <c r="AB18" s="13">
        <f>BL_pooling!AV44</f>
        <v>0</v>
      </c>
      <c r="AC18" s="13">
        <f>BL_pooling!AW44</f>
        <v>0</v>
      </c>
      <c r="AI18" s="415" t="s">
        <v>314</v>
      </c>
      <c r="AJ18" s="454">
        <f t="shared" ref="AJ18:AJ19" si="3">1-AO5</f>
        <v>0.30011694223919316</v>
      </c>
      <c r="AO18" s="415" t="s">
        <v>312</v>
      </c>
      <c r="AP18" s="454">
        <f t="shared" ref="AP18:AP19" si="4">1-AN5</f>
        <v>0.18073207666664182</v>
      </c>
      <c r="BM18" s="281"/>
      <c r="BN18" s="13"/>
      <c r="BR18" s="195" t="s">
        <v>226</v>
      </c>
      <c r="BS18" s="195" t="s">
        <v>252</v>
      </c>
      <c r="BT18" s="195" t="s">
        <v>257</v>
      </c>
      <c r="BU18" s="13">
        <v>0</v>
      </c>
      <c r="BV18" s="13">
        <v>0</v>
      </c>
      <c r="BW18" s="13">
        <v>0</v>
      </c>
      <c r="BZ18" s="255" t="s">
        <v>155</v>
      </c>
      <c r="CA18" s="251"/>
      <c r="CB18" s="256">
        <v>35.0020357</v>
      </c>
      <c r="CC18" s="391">
        <f>1-(CB18/CB19)</f>
        <v>3.0259816408162332E-2</v>
      </c>
      <c r="CE18" s="255" t="s">
        <v>155</v>
      </c>
      <c r="CF18" s="251"/>
      <c r="CG18" s="256">
        <v>45.373749799999999</v>
      </c>
      <c r="CH18" s="13">
        <v>0</v>
      </c>
    </row>
    <row r="19" spans="1:86" ht="26.4" x14ac:dyDescent="0.3">
      <c r="B19" s="135"/>
      <c r="C19" s="273">
        <v>0</v>
      </c>
      <c r="D19" s="274">
        <v>0</v>
      </c>
      <c r="E19" s="274">
        <v>0</v>
      </c>
      <c r="F19" s="274">
        <v>0</v>
      </c>
      <c r="G19" s="274">
        <v>0</v>
      </c>
      <c r="H19" s="274">
        <v>0</v>
      </c>
      <c r="I19" s="274">
        <v>0</v>
      </c>
      <c r="J19" s="274">
        <v>0</v>
      </c>
      <c r="K19" s="274">
        <v>0</v>
      </c>
      <c r="L19" s="274">
        <v>0</v>
      </c>
      <c r="M19" s="274">
        <v>0</v>
      </c>
      <c r="N19" s="274">
        <v>0</v>
      </c>
      <c r="Q19" s="195">
        <v>6</v>
      </c>
      <c r="R19" s="13">
        <f>BL_pooling!AL45</f>
        <v>0</v>
      </c>
      <c r="S19" s="13">
        <f>BL_pooling!AM45</f>
        <v>0</v>
      </c>
      <c r="T19" s="13">
        <f>BL_pooling!AN45</f>
        <v>0</v>
      </c>
      <c r="U19" s="13">
        <f>BL_pooling!AO45</f>
        <v>0</v>
      </c>
      <c r="V19" s="13">
        <f>BL_pooling!AP45</f>
        <v>0</v>
      </c>
      <c r="W19" s="13">
        <f>BL_pooling!AQ45</f>
        <v>0</v>
      </c>
      <c r="X19" s="13">
        <f>BL_pooling!AR45</f>
        <v>0</v>
      </c>
      <c r="Y19" s="13">
        <f>BL_pooling!AS45</f>
        <v>0</v>
      </c>
      <c r="Z19" s="13">
        <f>BL_pooling!AT45</f>
        <v>0</v>
      </c>
      <c r="AA19" s="13">
        <f>BL_pooling!AU45</f>
        <v>0</v>
      </c>
      <c r="AB19" s="13">
        <f>BL_pooling!AV45</f>
        <v>0</v>
      </c>
      <c r="AC19" s="13">
        <f>BL_pooling!AW45</f>
        <v>0</v>
      </c>
      <c r="AI19" s="415" t="s">
        <v>315</v>
      </c>
      <c r="AJ19" s="454">
        <f t="shared" si="3"/>
        <v>0.16211957673832289</v>
      </c>
      <c r="AO19" s="415" t="s">
        <v>311</v>
      </c>
      <c r="AP19" s="454">
        <f t="shared" si="4"/>
        <v>0.28620974413850542</v>
      </c>
      <c r="BM19" s="13"/>
      <c r="BN19" s="13"/>
      <c r="BR19" s="195" t="s">
        <v>226</v>
      </c>
      <c r="BS19" s="195" t="s">
        <v>253</v>
      </c>
      <c r="BT19" s="195" t="s">
        <v>258</v>
      </c>
      <c r="BU19" s="13">
        <v>0</v>
      </c>
      <c r="BV19" s="13">
        <v>0</v>
      </c>
      <c r="BW19" s="13">
        <v>0</v>
      </c>
      <c r="BZ19" s="257" t="s">
        <v>156</v>
      </c>
      <c r="CA19" s="258" t="s">
        <v>154</v>
      </c>
      <c r="CB19" s="259">
        <v>36.094240800000001</v>
      </c>
      <c r="CC19" s="12">
        <f>1-(CB19/CB19)</f>
        <v>0</v>
      </c>
      <c r="CE19" s="257" t="s">
        <v>156</v>
      </c>
      <c r="CF19" s="258" t="s">
        <v>154</v>
      </c>
      <c r="CG19" s="259">
        <v>45.373749799999999</v>
      </c>
      <c r="CH19" s="13">
        <v>0</v>
      </c>
    </row>
    <row r="20" spans="1:86" ht="16.2" thickBot="1" x14ac:dyDescent="0.35">
      <c r="B20" s="135"/>
      <c r="C20" s="273">
        <v>0</v>
      </c>
      <c r="D20" s="274">
        <v>0</v>
      </c>
      <c r="E20" s="274">
        <v>0</v>
      </c>
      <c r="F20" s="274">
        <v>0</v>
      </c>
      <c r="G20" s="274">
        <v>0</v>
      </c>
      <c r="H20" s="274">
        <v>0</v>
      </c>
      <c r="I20" s="274">
        <v>0</v>
      </c>
      <c r="J20" s="274">
        <v>0</v>
      </c>
      <c r="K20" s="274">
        <v>0</v>
      </c>
      <c r="L20" s="274">
        <v>0</v>
      </c>
      <c r="M20" s="274">
        <v>0</v>
      </c>
      <c r="N20" s="274">
        <v>0</v>
      </c>
      <c r="Q20" s="195">
        <v>5</v>
      </c>
      <c r="R20" s="13">
        <f>BL_pooling!AL46</f>
        <v>0</v>
      </c>
      <c r="S20" s="13">
        <f>BL_pooling!AM46</f>
        <v>0</v>
      </c>
      <c r="T20" s="13">
        <f>BL_pooling!AN46</f>
        <v>0</v>
      </c>
      <c r="U20" s="13">
        <f>BL_pooling!AO46</f>
        <v>0</v>
      </c>
      <c r="V20" s="13">
        <f>BL_pooling!AP46</f>
        <v>0</v>
      </c>
      <c r="W20" s="13">
        <f>BL_pooling!AQ46</f>
        <v>0</v>
      </c>
      <c r="X20" s="13">
        <f>BL_pooling!AR46</f>
        <v>0</v>
      </c>
      <c r="Y20" s="13">
        <f>BL_pooling!AS46</f>
        <v>0</v>
      </c>
      <c r="Z20" s="13">
        <f>BL_pooling!AT46</f>
        <v>0</v>
      </c>
      <c r="AA20" s="13">
        <f>BL_pooling!AU46</f>
        <v>0</v>
      </c>
      <c r="AB20" s="13">
        <f>BL_pooling!AV46</f>
        <v>0</v>
      </c>
      <c r="AC20" s="13">
        <f>BL_pooling!AW46</f>
        <v>0</v>
      </c>
      <c r="AJ20" s="12"/>
      <c r="BC20" s="279" t="s">
        <v>157</v>
      </c>
      <c r="BD20" s="278"/>
      <c r="BE20" s="278"/>
      <c r="BF20" s="278" t="s">
        <v>169</v>
      </c>
      <c r="BG20" s="278"/>
      <c r="BH20" s="278"/>
      <c r="BI20" s="278"/>
      <c r="BR20" s="195" t="s">
        <v>226</v>
      </c>
      <c r="BS20" s="195" t="s">
        <v>254</v>
      </c>
      <c r="BT20" s="195" t="s">
        <v>259</v>
      </c>
      <c r="BU20" s="13">
        <v>0</v>
      </c>
      <c r="BV20" s="13">
        <v>0</v>
      </c>
      <c r="BW20" s="390">
        <v>-5.4466230936819127E-2</v>
      </c>
    </row>
    <row r="21" spans="1:86" ht="16.2" thickBot="1" x14ac:dyDescent="0.35">
      <c r="B21" s="135"/>
      <c r="C21" s="273">
        <v>0</v>
      </c>
      <c r="D21" s="274">
        <v>0</v>
      </c>
      <c r="E21" s="274">
        <v>0</v>
      </c>
      <c r="F21" s="274">
        <v>0</v>
      </c>
      <c r="G21" s="274">
        <v>0</v>
      </c>
      <c r="H21" s="274">
        <v>0</v>
      </c>
      <c r="I21" s="274">
        <v>0</v>
      </c>
      <c r="J21" s="274">
        <v>0</v>
      </c>
      <c r="K21" s="274">
        <v>0</v>
      </c>
      <c r="L21" s="274">
        <v>0</v>
      </c>
      <c r="M21" s="274">
        <v>0</v>
      </c>
      <c r="N21" s="274">
        <v>0</v>
      </c>
      <c r="Q21" s="195">
        <v>4</v>
      </c>
      <c r="R21" s="13">
        <f>BL_pooling!AL47</f>
        <v>0</v>
      </c>
      <c r="S21" s="13">
        <f>BL_pooling!AM47</f>
        <v>0</v>
      </c>
      <c r="T21" s="13">
        <f>BL_pooling!AN47</f>
        <v>0</v>
      </c>
      <c r="U21" s="13">
        <f>BL_pooling!AO47</f>
        <v>0</v>
      </c>
      <c r="V21" s="13">
        <f>BL_pooling!AP47</f>
        <v>8.6561350357065565E-4</v>
      </c>
      <c r="W21" s="13">
        <f>BL_pooling!AQ47</f>
        <v>1.3586956521739131E-4</v>
      </c>
      <c r="X21" s="13">
        <f>BL_pooling!AR47</f>
        <v>0</v>
      </c>
      <c r="Y21" s="13">
        <f>BL_pooling!AS47</f>
        <v>1.5523932729624838E-3</v>
      </c>
      <c r="Z21" s="13">
        <f>BL_pooling!AT47</f>
        <v>0</v>
      </c>
      <c r="AA21" s="13">
        <f>BL_pooling!AU47</f>
        <v>0</v>
      </c>
      <c r="AB21" s="13">
        <f>BL_pooling!AV47</f>
        <v>0</v>
      </c>
      <c r="AC21" s="13">
        <f>BL_pooling!AW47</f>
        <v>0</v>
      </c>
      <c r="AI21" s="613" t="s">
        <v>57</v>
      </c>
      <c r="AJ21" s="613"/>
      <c r="AO21" s="613" t="s">
        <v>57</v>
      </c>
      <c r="AP21" s="613"/>
      <c r="BC21" s="602" t="s">
        <v>148</v>
      </c>
      <c r="BD21" s="603"/>
      <c r="BE21" s="407">
        <v>2017</v>
      </c>
      <c r="BF21" s="407">
        <v>2018</v>
      </c>
      <c r="BG21" s="407">
        <v>2019</v>
      </c>
      <c r="BH21" s="406" t="s">
        <v>149</v>
      </c>
      <c r="BJ21" s="403" t="s">
        <v>283</v>
      </c>
      <c r="BK21" s="403" t="s">
        <v>284</v>
      </c>
      <c r="BZ21" s="278" t="s">
        <v>263</v>
      </c>
      <c r="CA21" s="278"/>
      <c r="CB21" s="278"/>
      <c r="CC21" s="278"/>
      <c r="CE21" s="278" t="s">
        <v>262</v>
      </c>
      <c r="CF21" s="278"/>
      <c r="CG21" s="278"/>
      <c r="CH21" s="278"/>
    </row>
    <row r="22" spans="1:86" ht="16.2" thickBot="1" x14ac:dyDescent="0.35">
      <c r="B22" s="135"/>
      <c r="C22" s="150"/>
      <c r="D22" s="151"/>
      <c r="E22" s="151"/>
      <c r="F22" s="151"/>
      <c r="G22" s="151"/>
      <c r="H22" s="151"/>
      <c r="I22" s="151"/>
      <c r="J22" s="151"/>
      <c r="K22" s="151"/>
      <c r="L22" s="151"/>
      <c r="M22" s="151"/>
      <c r="N22" s="151"/>
      <c r="O22" s="132"/>
      <c r="Q22" s="195">
        <v>3</v>
      </c>
      <c r="R22" s="13">
        <f>BL_pooling!AL48</f>
        <v>0</v>
      </c>
      <c r="S22" s="13">
        <f>BL_pooling!AM48</f>
        <v>0</v>
      </c>
      <c r="T22" s="13">
        <f>BL_pooling!AN48</f>
        <v>0</v>
      </c>
      <c r="U22" s="13">
        <f>BL_pooling!AO48</f>
        <v>0</v>
      </c>
      <c r="V22" s="13">
        <f>BL_pooling!AP48</f>
        <v>3.0296472624972955E-3</v>
      </c>
      <c r="W22" s="13">
        <f>BL_pooling!AQ48</f>
        <v>1.766304347826087E-3</v>
      </c>
      <c r="X22" s="13">
        <f>BL_pooling!AR48</f>
        <v>0</v>
      </c>
      <c r="Y22" s="13">
        <f>BL_pooling!AS48</f>
        <v>8.2794307891332474E-3</v>
      </c>
      <c r="Z22" s="13">
        <f>BL_pooling!AT48</f>
        <v>0</v>
      </c>
      <c r="AA22" s="13">
        <f>BL_pooling!AU48</f>
        <v>1.8027762754642149E-4</v>
      </c>
      <c r="AB22" s="13">
        <f>BL_pooling!AV48</f>
        <v>1.8027762754642149E-4</v>
      </c>
      <c r="AC22" s="13">
        <f>BL_pooling!AW48</f>
        <v>1.8027762754642149E-4</v>
      </c>
      <c r="AI22" s="415" t="s">
        <v>313</v>
      </c>
      <c r="AJ22" s="454">
        <f>1-AO4</f>
        <v>0</v>
      </c>
      <c r="AO22" s="415" t="s">
        <v>316</v>
      </c>
      <c r="AP22" s="454">
        <f>1-AN4</f>
        <v>0</v>
      </c>
      <c r="BC22" s="409" t="s">
        <v>274</v>
      </c>
      <c r="BD22" s="400"/>
      <c r="BE22" s="245" t="s">
        <v>150</v>
      </c>
      <c r="BF22" s="245">
        <v>1</v>
      </c>
      <c r="BG22" s="245" t="s">
        <v>150</v>
      </c>
      <c r="BH22" s="245">
        <v>1</v>
      </c>
      <c r="BI22" s="195">
        <f>BH22/SUM(BH22,BH23)</f>
        <v>2.7027027027027029E-2</v>
      </c>
      <c r="BK22" s="195">
        <v>1</v>
      </c>
      <c r="BL22" s="12">
        <f>BK22/SUM(BK22:BK23)</f>
        <v>3.5714285714285712E-2</v>
      </c>
      <c r="BZ22" s="252" t="s">
        <v>152</v>
      </c>
      <c r="CA22" s="253" t="s">
        <v>153</v>
      </c>
      <c r="CB22" s="254" t="s">
        <v>154</v>
      </c>
      <c r="CC22" s="195"/>
      <c r="CE22" s="252" t="s">
        <v>152</v>
      </c>
      <c r="CF22" s="253" t="s">
        <v>153</v>
      </c>
      <c r="CG22" s="254" t="s">
        <v>154</v>
      </c>
      <c r="CH22" s="195"/>
    </row>
    <row r="23" spans="1:86" ht="16.2" thickBot="1" x14ac:dyDescent="0.35">
      <c r="B23" s="135"/>
      <c r="C23" s="150"/>
      <c r="D23" s="151"/>
      <c r="E23" s="151"/>
      <c r="F23" s="151"/>
      <c r="G23" s="151"/>
      <c r="H23" s="151"/>
      <c r="I23" s="151"/>
      <c r="J23" s="151"/>
      <c r="K23" s="151"/>
      <c r="L23" s="151"/>
      <c r="M23" s="151"/>
      <c r="N23" s="151"/>
      <c r="O23" s="132"/>
      <c r="Q23" s="195">
        <v>2</v>
      </c>
      <c r="R23" s="13">
        <f>BL_pooling!AL49</f>
        <v>1.3544018058690742E-3</v>
      </c>
      <c r="S23" s="13">
        <f>BL_pooling!AM49</f>
        <v>1.3544018058690742E-3</v>
      </c>
      <c r="T23" s="13">
        <f>BL_pooling!AN49</f>
        <v>1.3544018058690742E-3</v>
      </c>
      <c r="U23" s="13">
        <f>BL_pooling!AO49</f>
        <v>7.7359463641052091E-3</v>
      </c>
      <c r="V23" s="13">
        <f>BL_pooling!AP49</f>
        <v>1.1252975546418525E-2</v>
      </c>
      <c r="W23" s="13">
        <f>BL_pooling!AQ49</f>
        <v>9.6467391304347824E-3</v>
      </c>
      <c r="X23" s="13">
        <f>BL_pooling!AR49</f>
        <v>2.1540118470651588E-3</v>
      </c>
      <c r="Y23" s="13">
        <f>BL_pooling!AS49</f>
        <v>1.7335058214747737E-2</v>
      </c>
      <c r="Z23" s="13">
        <f>BL_pooling!AT49</f>
        <v>1.3784954706577392E-2</v>
      </c>
      <c r="AA23" s="13">
        <f>BL_pooling!AU49</f>
        <v>5.408328826392644E-3</v>
      </c>
      <c r="AB23" s="13">
        <f>BL_pooling!AV49</f>
        <v>5.408328826392644E-3</v>
      </c>
      <c r="AC23" s="13">
        <f>BL_pooling!AW49</f>
        <v>5.408328826392644E-3</v>
      </c>
      <c r="AI23" s="415" t="s">
        <v>314</v>
      </c>
      <c r="AJ23" s="454">
        <f t="shared" ref="AJ23:AJ24" si="5">1-AO5</f>
        <v>0.30011694223919316</v>
      </c>
      <c r="AO23" s="415" t="s">
        <v>312</v>
      </c>
      <c r="AP23" s="454">
        <f t="shared" ref="AP23:AP24" si="6">1-AN5</f>
        <v>0.18073207666664182</v>
      </c>
      <c r="BC23" s="411" t="s">
        <v>151</v>
      </c>
      <c r="BD23" s="381"/>
      <c r="BE23" s="245">
        <v>14</v>
      </c>
      <c r="BF23" s="245">
        <v>11</v>
      </c>
      <c r="BG23" s="245">
        <v>11</v>
      </c>
      <c r="BH23" s="245">
        <v>36</v>
      </c>
      <c r="BI23" s="195">
        <f>BH23/SUM(BH22,BH23)</f>
        <v>0.97297297297297303</v>
      </c>
      <c r="BJ23" s="245">
        <v>9</v>
      </c>
      <c r="BK23" s="245">
        <v>27</v>
      </c>
      <c r="BL23" s="12">
        <f>BK23/SUM(BK22:BK23)</f>
        <v>0.9642857142857143</v>
      </c>
      <c r="BM23" s="13"/>
      <c r="BN23" s="13"/>
      <c r="BQ23" s="602" t="s">
        <v>148</v>
      </c>
      <c r="BR23" s="603"/>
      <c r="BS23" s="604"/>
      <c r="BT23" s="407">
        <v>2017</v>
      </c>
      <c r="BU23" s="407">
        <v>2018</v>
      </c>
      <c r="BV23" s="392">
        <v>2019</v>
      </c>
      <c r="BW23" s="393" t="s">
        <v>149</v>
      </c>
      <c r="BZ23" s="255" t="s">
        <v>155</v>
      </c>
      <c r="CA23" s="251"/>
      <c r="CB23" s="256">
        <v>29.022215200000002</v>
      </c>
      <c r="CC23" s="12">
        <f>1-(CB23/CB24)</f>
        <v>0.19593224412688015</v>
      </c>
      <c r="CE23" s="255" t="s">
        <v>155</v>
      </c>
      <c r="CF23" s="251"/>
      <c r="CG23" s="256">
        <v>39.500526299999997</v>
      </c>
      <c r="CH23" s="12">
        <f>1-(CG23/CG24)</f>
        <v>0.12944099894516548</v>
      </c>
    </row>
    <row r="24" spans="1:86" ht="27" thickBot="1" x14ac:dyDescent="0.35">
      <c r="B24" s="135"/>
      <c r="C24" s="135"/>
      <c r="D24" s="135"/>
      <c r="E24" s="135"/>
      <c r="F24" s="135"/>
      <c r="G24" s="135"/>
      <c r="H24" s="135"/>
      <c r="I24" s="135"/>
      <c r="J24" s="135"/>
      <c r="K24" s="135"/>
      <c r="L24" s="135"/>
      <c r="M24" s="135"/>
      <c r="N24" s="135"/>
      <c r="O24" s="132"/>
      <c r="Q24" s="195">
        <v>1</v>
      </c>
      <c r="R24" s="13">
        <f>BL_pooling!AL50</f>
        <v>3.9729119638826187E-2</v>
      </c>
      <c r="S24" s="13">
        <f>BL_pooling!AM50</f>
        <v>3.9729119638826187E-2</v>
      </c>
      <c r="T24" s="13">
        <f>BL_pooling!AN50</f>
        <v>3.9729119638826187E-2</v>
      </c>
      <c r="U24" s="13">
        <f>BL_pooling!AO50</f>
        <v>4.7705002578648778E-2</v>
      </c>
      <c r="V24" s="13">
        <f>BL_pooling!AP50</f>
        <v>5.1287600086561351E-2</v>
      </c>
      <c r="W24" s="13">
        <f>BL_pooling!AQ50</f>
        <v>3.3016304347826084E-2</v>
      </c>
      <c r="X24" s="13">
        <f>BL_pooling!AR50</f>
        <v>1.74115957637767E-2</v>
      </c>
      <c r="Y24" s="13">
        <f>BL_pooling!AS50</f>
        <v>4.0879689521345408E-2</v>
      </c>
      <c r="Z24" s="13">
        <f>BL_pooling!AT50</f>
        <v>7.3257187869239862E-2</v>
      </c>
      <c r="AA24" s="13">
        <f>BL_pooling!AU50</f>
        <v>4.3807463493780424E-2</v>
      </c>
      <c r="AB24" s="13">
        <f>BL_pooling!AV50</f>
        <v>4.3807463493780424E-2</v>
      </c>
      <c r="AC24" s="13">
        <f>BL_pooling!AW50</f>
        <v>4.3807463493780424E-2</v>
      </c>
      <c r="AI24" s="415" t="s">
        <v>315</v>
      </c>
      <c r="AJ24" s="454">
        <f t="shared" si="5"/>
        <v>0.16211957673832289</v>
      </c>
      <c r="AO24" s="415" t="s">
        <v>311</v>
      </c>
      <c r="AP24" s="454">
        <f t="shared" si="6"/>
        <v>0.28620974413850542</v>
      </c>
      <c r="BM24" s="13"/>
      <c r="BN24" s="13"/>
      <c r="BQ24" s="605">
        <v>1</v>
      </c>
      <c r="BR24" s="607"/>
      <c r="BS24" s="244">
        <v>5</v>
      </c>
      <c r="BT24" s="245" t="s">
        <v>150</v>
      </c>
      <c r="BU24" s="245">
        <v>1</v>
      </c>
      <c r="BV24" s="245" t="s">
        <v>150</v>
      </c>
      <c r="BW24" s="245">
        <v>1</v>
      </c>
      <c r="BZ24" s="257" t="s">
        <v>156</v>
      </c>
      <c r="CA24" s="258" t="s">
        <v>154</v>
      </c>
      <c r="CB24" s="259">
        <v>36.094240800000001</v>
      </c>
      <c r="CC24" s="12">
        <f>1-(CB24/CB24)</f>
        <v>0</v>
      </c>
      <c r="CE24" s="257" t="s">
        <v>156</v>
      </c>
      <c r="CF24" s="258" t="s">
        <v>154</v>
      </c>
      <c r="CG24" s="259">
        <v>45.373749799999999</v>
      </c>
      <c r="CH24" s="12">
        <f>1-(CG24/CG24)</f>
        <v>0</v>
      </c>
    </row>
    <row r="25" spans="1:86" ht="16.2" thickBot="1" x14ac:dyDescent="0.35">
      <c r="B25" s="136" t="s">
        <v>167</v>
      </c>
      <c r="C25" s="135"/>
      <c r="D25" s="135"/>
      <c r="E25" s="135"/>
      <c r="F25" s="135"/>
      <c r="G25" s="135"/>
      <c r="H25" s="135"/>
      <c r="I25" s="135"/>
      <c r="J25" s="135"/>
      <c r="K25" s="135"/>
      <c r="L25" s="135"/>
      <c r="M25" s="135"/>
      <c r="N25" s="135"/>
      <c r="O25" s="132"/>
      <c r="BM25" s="13"/>
      <c r="BN25" s="13"/>
      <c r="BQ25" s="606"/>
      <c r="BR25" s="608"/>
      <c r="BS25" s="244">
        <v>7</v>
      </c>
      <c r="BT25" s="245">
        <v>2</v>
      </c>
      <c r="BU25" s="245" t="s">
        <v>150</v>
      </c>
      <c r="BV25" s="245" t="s">
        <v>150</v>
      </c>
      <c r="BW25" s="245">
        <v>2</v>
      </c>
    </row>
    <row r="26" spans="1:86" ht="16.2" thickBot="1" x14ac:dyDescent="0.35">
      <c r="B26" s="135" t="s">
        <v>44</v>
      </c>
      <c r="C26" s="135">
        <v>1</v>
      </c>
      <c r="D26" s="135">
        <v>2</v>
      </c>
      <c r="E26" s="135">
        <v>3</v>
      </c>
      <c r="F26" s="135">
        <v>4</v>
      </c>
      <c r="G26" s="135">
        <v>5</v>
      </c>
      <c r="H26" s="135">
        <v>6</v>
      </c>
      <c r="I26" s="135">
        <v>7</v>
      </c>
      <c r="J26" s="135">
        <v>8</v>
      </c>
      <c r="K26" s="135">
        <v>9</v>
      </c>
      <c r="L26" s="135">
        <v>10</v>
      </c>
      <c r="M26" s="135">
        <v>11</v>
      </c>
      <c r="N26" s="135">
        <v>12</v>
      </c>
      <c r="O26" s="132"/>
      <c r="BC26" s="280" t="s">
        <v>170</v>
      </c>
      <c r="BD26" s="280"/>
      <c r="BE26" s="280"/>
      <c r="BF26" s="280"/>
      <c r="BG26" s="280"/>
      <c r="BH26" s="280"/>
      <c r="BI26" s="280"/>
      <c r="BM26" s="13"/>
      <c r="BN26" s="13"/>
      <c r="BQ26" s="409">
        <v>2</v>
      </c>
      <c r="BR26" s="244"/>
      <c r="BS26" s="244">
        <v>7</v>
      </c>
      <c r="BT26" s="245">
        <v>1</v>
      </c>
      <c r="BU26" s="245" t="s">
        <v>150</v>
      </c>
      <c r="BV26" s="245" t="s">
        <v>150</v>
      </c>
      <c r="BW26" s="245">
        <v>1</v>
      </c>
    </row>
    <row r="27" spans="1:86" ht="27.6" thickBot="1" x14ac:dyDescent="0.35">
      <c r="A27" s="195" t="s">
        <v>335</v>
      </c>
      <c r="B27" s="452">
        <v>1</v>
      </c>
      <c r="C27" s="148">
        <f>R32</f>
        <v>0</v>
      </c>
      <c r="D27" s="149">
        <f t="shared" ref="D27:N27" si="7">S32</f>
        <v>0</v>
      </c>
      <c r="E27" s="149">
        <f t="shared" si="7"/>
        <v>0</v>
      </c>
      <c r="F27" s="149">
        <f t="shared" si="7"/>
        <v>0</v>
      </c>
      <c r="G27" s="149">
        <f t="shared" si="7"/>
        <v>0</v>
      </c>
      <c r="H27" s="149">
        <f t="shared" si="7"/>
        <v>0</v>
      </c>
      <c r="I27" s="149">
        <f t="shared" si="7"/>
        <v>0</v>
      </c>
      <c r="J27" s="149">
        <f t="shared" si="7"/>
        <v>0</v>
      </c>
      <c r="K27" s="149">
        <f t="shared" si="7"/>
        <v>0</v>
      </c>
      <c r="L27" s="149">
        <f t="shared" si="7"/>
        <v>0</v>
      </c>
      <c r="M27" s="149">
        <f t="shared" si="7"/>
        <v>0</v>
      </c>
      <c r="N27" s="149">
        <f t="shared" si="7"/>
        <v>0</v>
      </c>
      <c r="O27" s="132"/>
      <c r="BC27" s="262" t="s">
        <v>158</v>
      </c>
      <c r="BD27" s="270"/>
      <c r="BE27" s="270"/>
      <c r="BM27" s="13"/>
      <c r="BN27" s="13"/>
      <c r="BQ27" s="409">
        <v>3</v>
      </c>
      <c r="BR27" s="244"/>
      <c r="BS27" s="244">
        <v>7</v>
      </c>
      <c r="BT27" s="245" t="s">
        <v>150</v>
      </c>
      <c r="BU27" s="245">
        <v>1</v>
      </c>
      <c r="BV27" s="245" t="s">
        <v>150</v>
      </c>
      <c r="BW27" s="245">
        <v>1</v>
      </c>
    </row>
    <row r="28" spans="1:86" ht="42.6" thickBot="1" x14ac:dyDescent="0.5">
      <c r="A28" s="195" t="s">
        <v>336</v>
      </c>
      <c r="B28" s="453">
        <v>2</v>
      </c>
      <c r="C28" s="273">
        <v>0.47060723514211888</v>
      </c>
      <c r="D28" s="273">
        <v>0.47060723514211888</v>
      </c>
      <c r="E28" s="273">
        <v>0.47060723514211888</v>
      </c>
      <c r="F28" s="273">
        <v>0.47060723514211888</v>
      </c>
      <c r="G28" s="273">
        <v>0.47060723514211888</v>
      </c>
      <c r="H28" s="273">
        <v>0.47060723514211888</v>
      </c>
      <c r="I28" s="273">
        <v>0.47060723514211888</v>
      </c>
      <c r="J28" s="273">
        <v>0.47060723514211888</v>
      </c>
      <c r="K28" s="273">
        <v>0.47060723514211888</v>
      </c>
      <c r="L28" s="273">
        <v>0.47060723514211888</v>
      </c>
      <c r="M28" s="273">
        <v>0.47060723514211888</v>
      </c>
      <c r="N28" s="273">
        <v>0.47060723514211888</v>
      </c>
      <c r="O28" s="132"/>
      <c r="AI28" s="611" t="s">
        <v>350</v>
      </c>
      <c r="AJ28" s="611"/>
      <c r="BC28" s="263" t="s">
        <v>159</v>
      </c>
      <c r="BD28" s="260"/>
      <c r="BE28" s="260"/>
      <c r="BQ28" s="605" t="s">
        <v>151</v>
      </c>
      <c r="BR28" s="607"/>
      <c r="BS28" s="244">
        <v>5</v>
      </c>
      <c r="BT28" s="245">
        <v>2</v>
      </c>
      <c r="BU28" s="245">
        <v>3</v>
      </c>
      <c r="BV28" s="245">
        <v>3</v>
      </c>
      <c r="BW28" s="245">
        <v>8</v>
      </c>
    </row>
    <row r="29" spans="1:86" ht="16.2" thickBot="1" x14ac:dyDescent="0.35">
      <c r="A29" s="195" t="s">
        <v>337</v>
      </c>
      <c r="B29" s="453">
        <v>3</v>
      </c>
      <c r="C29" s="273">
        <v>0.21479328165374678</v>
      </c>
      <c r="D29" s="273">
        <v>0.21479328165374678</v>
      </c>
      <c r="E29" s="273">
        <v>0.21479328165374678</v>
      </c>
      <c r="F29" s="273">
        <v>0.21479328165374678</v>
      </c>
      <c r="G29" s="273">
        <v>0.21479328165374678</v>
      </c>
      <c r="H29" s="273">
        <v>0.21479328165374678</v>
      </c>
      <c r="I29" s="273">
        <v>0.21479328165374678</v>
      </c>
      <c r="J29" s="273">
        <v>0.21479328165374678</v>
      </c>
      <c r="K29" s="273">
        <v>0.21479328165374678</v>
      </c>
      <c r="L29" s="273">
        <v>0.21479328165374678</v>
      </c>
      <c r="M29" s="273">
        <v>0.21479328165374678</v>
      </c>
      <c r="N29" s="273">
        <v>0.21479328165374678</v>
      </c>
      <c r="O29" s="132"/>
      <c r="R29" s="213" t="s">
        <v>16</v>
      </c>
      <c r="S29" s="212"/>
      <c r="T29" s="212"/>
      <c r="U29" s="212"/>
      <c r="V29" s="212"/>
      <c r="W29" s="212"/>
      <c r="X29" s="212"/>
      <c r="Y29" s="212"/>
      <c r="Z29" s="212"/>
      <c r="AA29" s="212"/>
      <c r="AB29" s="212"/>
      <c r="AC29" s="212"/>
      <c r="AD29" s="212"/>
      <c r="AI29" s="612" t="s">
        <v>88</v>
      </c>
      <c r="AJ29" s="612"/>
      <c r="BC29" s="264" t="s">
        <v>160</v>
      </c>
      <c r="BD29" s="250" t="s">
        <v>87</v>
      </c>
      <c r="BE29" s="265" t="s">
        <v>161</v>
      </c>
      <c r="BQ29" s="609"/>
      <c r="BR29" s="610"/>
      <c r="BS29" s="249">
        <v>7</v>
      </c>
      <c r="BT29" s="245">
        <v>9</v>
      </c>
      <c r="BU29" s="245">
        <v>7</v>
      </c>
      <c r="BV29" s="245">
        <v>8</v>
      </c>
      <c r="BW29" s="245">
        <v>24</v>
      </c>
    </row>
    <row r="30" spans="1:86" ht="16.2" thickBot="1" x14ac:dyDescent="0.35">
      <c r="B30" s="452"/>
      <c r="C30" s="273">
        <v>0</v>
      </c>
      <c r="D30" s="274">
        <v>0</v>
      </c>
      <c r="E30" s="274">
        <v>0</v>
      </c>
      <c r="F30" s="274">
        <v>0</v>
      </c>
      <c r="G30" s="274">
        <v>0</v>
      </c>
      <c r="H30" s="274">
        <v>0</v>
      </c>
      <c r="I30" s="274">
        <v>0</v>
      </c>
      <c r="J30" s="274">
        <v>0</v>
      </c>
      <c r="K30" s="274">
        <v>0</v>
      </c>
      <c r="L30" s="274">
        <v>0</v>
      </c>
      <c r="M30" s="274">
        <v>0</v>
      </c>
      <c r="N30" s="274">
        <v>0</v>
      </c>
      <c r="O30" s="132"/>
      <c r="AI30" s="415" t="s">
        <v>313</v>
      </c>
      <c r="AJ30" s="454">
        <f>ABS(AJ12-$AP$13)</f>
        <v>7.0475323354348696E-3</v>
      </c>
      <c r="BC30" s="267" t="s">
        <v>151</v>
      </c>
      <c r="BD30" s="261">
        <v>144</v>
      </c>
      <c r="BE30" s="266">
        <v>144</v>
      </c>
      <c r="BI30" s="72"/>
    </row>
    <row r="31" spans="1:86" ht="15.6" x14ac:dyDescent="0.3">
      <c r="B31" s="453"/>
      <c r="C31" s="273">
        <v>0</v>
      </c>
      <c r="D31" s="274">
        <v>0</v>
      </c>
      <c r="E31" s="274">
        <v>0</v>
      </c>
      <c r="F31" s="274">
        <v>0</v>
      </c>
      <c r="G31" s="274">
        <v>0</v>
      </c>
      <c r="H31" s="274">
        <v>0</v>
      </c>
      <c r="I31" s="274">
        <v>0</v>
      </c>
      <c r="J31" s="274">
        <v>0</v>
      </c>
      <c r="K31" s="274">
        <v>0</v>
      </c>
      <c r="L31" s="274">
        <v>0</v>
      </c>
      <c r="M31" s="274">
        <v>0</v>
      </c>
      <c r="N31" s="274">
        <v>0</v>
      </c>
      <c r="O31" s="132"/>
      <c r="Q31" s="195" t="s">
        <v>50</v>
      </c>
      <c r="R31" s="195">
        <v>1</v>
      </c>
      <c r="S31" s="195">
        <v>2</v>
      </c>
      <c r="T31" s="195">
        <v>3</v>
      </c>
      <c r="U31" s="195">
        <v>4</v>
      </c>
      <c r="V31" s="195">
        <v>5</v>
      </c>
      <c r="W31" s="195">
        <v>6</v>
      </c>
      <c r="X31" s="195">
        <v>7</v>
      </c>
      <c r="Y31" s="195">
        <v>8</v>
      </c>
      <c r="Z31" s="195">
        <v>9</v>
      </c>
      <c r="AA31" s="195">
        <v>10</v>
      </c>
      <c r="AB31" s="195">
        <v>11</v>
      </c>
      <c r="AC31" s="195">
        <v>12</v>
      </c>
      <c r="AI31" s="415" t="s">
        <v>314</v>
      </c>
      <c r="AJ31" s="454">
        <f>ABS(AJ13-$AP$13)</f>
        <v>0.46355970280668402</v>
      </c>
      <c r="BD31" s="268"/>
      <c r="BE31" s="269"/>
      <c r="BL31" s="280" t="s">
        <v>220</v>
      </c>
      <c r="BM31" s="280"/>
      <c r="BN31" s="280"/>
      <c r="BO31" s="280"/>
      <c r="BP31" s="384"/>
      <c r="BQ31" s="384"/>
      <c r="BR31" s="384"/>
      <c r="BZ31" s="280" t="s">
        <v>220</v>
      </c>
      <c r="CA31" s="280"/>
      <c r="CB31" s="280"/>
    </row>
    <row r="32" spans="1:86" ht="15.6" x14ac:dyDescent="0.3">
      <c r="B32" s="453"/>
      <c r="C32" s="273">
        <v>0</v>
      </c>
      <c r="D32" s="274">
        <v>0</v>
      </c>
      <c r="E32" s="274">
        <v>0</v>
      </c>
      <c r="F32" s="274">
        <v>0</v>
      </c>
      <c r="G32" s="274">
        <v>0</v>
      </c>
      <c r="H32" s="274">
        <v>0</v>
      </c>
      <c r="I32" s="274">
        <v>0</v>
      </c>
      <c r="J32" s="274">
        <v>0</v>
      </c>
      <c r="K32" s="274">
        <v>0</v>
      </c>
      <c r="L32" s="274">
        <v>0</v>
      </c>
      <c r="M32" s="274">
        <v>0</v>
      </c>
      <c r="N32" s="274">
        <v>0</v>
      </c>
      <c r="O32" s="132"/>
      <c r="Q32" s="195">
        <v>20</v>
      </c>
      <c r="R32" s="13">
        <f>BL_pooling!AL82</f>
        <v>0</v>
      </c>
      <c r="S32" s="13">
        <f>BL_pooling!AM82</f>
        <v>0</v>
      </c>
      <c r="T32" s="13">
        <f>BL_pooling!AN82</f>
        <v>0</v>
      </c>
      <c r="U32" s="13">
        <f>BL_pooling!AO82</f>
        <v>0</v>
      </c>
      <c r="V32" s="13">
        <f>BL_pooling!AP82</f>
        <v>0</v>
      </c>
      <c r="W32" s="13">
        <f>BL_pooling!AQ82</f>
        <v>0</v>
      </c>
      <c r="X32" s="13">
        <f>BL_pooling!AR82</f>
        <v>0</v>
      </c>
      <c r="Y32" s="13">
        <f>BL_pooling!AS82</f>
        <v>0</v>
      </c>
      <c r="Z32" s="13">
        <f>BL_pooling!AT82</f>
        <v>0</v>
      </c>
      <c r="AA32" s="13">
        <f>BL_pooling!AU82</f>
        <v>0</v>
      </c>
      <c r="AB32" s="13">
        <f>BL_pooling!AV82</f>
        <v>0</v>
      </c>
      <c r="AC32" s="13">
        <f>BL_pooling!AW82</f>
        <v>0</v>
      </c>
      <c r="AI32" s="415" t="s">
        <v>315</v>
      </c>
      <c r="AJ32" s="454">
        <f>ABS(AJ14-$AP$13)</f>
        <v>0.20774574931831191</v>
      </c>
      <c r="BL32" s="195" t="s">
        <v>148</v>
      </c>
      <c r="BM32" s="195" t="s">
        <v>221</v>
      </c>
      <c r="BN32" s="195" t="s">
        <v>222</v>
      </c>
      <c r="BO32" s="195" t="s">
        <v>265</v>
      </c>
      <c r="BP32" s="195" t="s">
        <v>264</v>
      </c>
      <c r="BQ32" s="195" t="s">
        <v>222</v>
      </c>
      <c r="BR32" s="195" t="s">
        <v>280</v>
      </c>
      <c r="BZ32" s="195" t="s">
        <v>148</v>
      </c>
      <c r="CA32" s="195" t="s">
        <v>264</v>
      </c>
      <c r="CB32" t="s">
        <v>265</v>
      </c>
      <c r="CC32" s="195" t="s">
        <v>222</v>
      </c>
    </row>
    <row r="33" spans="2:81" ht="16.2" thickBot="1" x14ac:dyDescent="0.35">
      <c r="B33" s="452"/>
      <c r="C33" s="273">
        <v>0</v>
      </c>
      <c r="D33" s="274">
        <v>0</v>
      </c>
      <c r="E33" s="274">
        <v>0</v>
      </c>
      <c r="F33" s="274">
        <v>0</v>
      </c>
      <c r="G33" s="274">
        <v>0</v>
      </c>
      <c r="H33" s="274">
        <v>0</v>
      </c>
      <c r="I33" s="274">
        <v>0</v>
      </c>
      <c r="J33" s="274">
        <v>0</v>
      </c>
      <c r="K33" s="274">
        <v>0</v>
      </c>
      <c r="L33" s="274">
        <v>0</v>
      </c>
      <c r="M33" s="274">
        <v>0</v>
      </c>
      <c r="N33" s="274">
        <v>0</v>
      </c>
      <c r="O33" s="132"/>
      <c r="Q33" s="195">
        <v>19</v>
      </c>
      <c r="R33" s="13">
        <f>BL_pooling!AL83</f>
        <v>0</v>
      </c>
      <c r="S33" s="13">
        <f>BL_pooling!AM83</f>
        <v>0</v>
      </c>
      <c r="T33" s="13">
        <f>BL_pooling!AN83</f>
        <v>0</v>
      </c>
      <c r="U33" s="13">
        <f>BL_pooling!AO83</f>
        <v>0</v>
      </c>
      <c r="V33" s="13">
        <f>BL_pooling!AP83</f>
        <v>0</v>
      </c>
      <c r="W33" s="13">
        <f>BL_pooling!AQ83</f>
        <v>0</v>
      </c>
      <c r="X33" s="13">
        <f>BL_pooling!AR83</f>
        <v>0</v>
      </c>
      <c r="Y33" s="13">
        <f>BL_pooling!AS83</f>
        <v>0</v>
      </c>
      <c r="Z33" s="13">
        <f>BL_pooling!AT83</f>
        <v>0</v>
      </c>
      <c r="AA33" s="13">
        <f>BL_pooling!AU83</f>
        <v>0</v>
      </c>
      <c r="AB33" s="13">
        <f>BL_pooling!AV83</f>
        <v>0</v>
      </c>
      <c r="AC33" s="13">
        <f>BL_pooling!AW83</f>
        <v>0</v>
      </c>
      <c r="BC33" s="280" t="s">
        <v>168</v>
      </c>
      <c r="BD33" s="280"/>
      <c r="BE33" s="280"/>
      <c r="BF33" s="280"/>
      <c r="BG33" s="280"/>
      <c r="BH33" s="280"/>
      <c r="BI33" s="280"/>
      <c r="BL33" s="195" t="s">
        <v>151</v>
      </c>
      <c r="BM33" s="12">
        <v>0</v>
      </c>
      <c r="BN33" s="12">
        <v>0</v>
      </c>
      <c r="BO33" s="12">
        <v>0</v>
      </c>
      <c r="BP33" s="12">
        <v>0</v>
      </c>
      <c r="BQ33" s="12">
        <v>0</v>
      </c>
      <c r="BR33" s="12">
        <v>0</v>
      </c>
      <c r="BZ33" s="195" t="s">
        <v>151</v>
      </c>
      <c r="CA33" s="12">
        <v>0.39393939393939392</v>
      </c>
      <c r="CB33" s="12">
        <v>0.19047619047619047</v>
      </c>
      <c r="CC33" s="12">
        <v>0</v>
      </c>
    </row>
    <row r="34" spans="2:81" ht="16.2" thickBot="1" x14ac:dyDescent="0.35">
      <c r="B34" s="453"/>
      <c r="C34" s="273">
        <v>0</v>
      </c>
      <c r="D34" s="274">
        <v>0</v>
      </c>
      <c r="E34" s="274">
        <v>0</v>
      </c>
      <c r="F34" s="274">
        <v>0</v>
      </c>
      <c r="G34" s="274">
        <v>0</v>
      </c>
      <c r="H34" s="274">
        <v>0</v>
      </c>
      <c r="I34" s="274">
        <v>0</v>
      </c>
      <c r="J34" s="274">
        <v>0</v>
      </c>
      <c r="K34" s="274">
        <v>0</v>
      </c>
      <c r="L34" s="274">
        <v>0</v>
      </c>
      <c r="M34" s="274">
        <v>0</v>
      </c>
      <c r="N34" s="274">
        <v>0</v>
      </c>
      <c r="O34" s="132"/>
      <c r="Q34" s="195">
        <v>18</v>
      </c>
      <c r="R34" s="13">
        <f>BL_pooling!AL84</f>
        <v>0</v>
      </c>
      <c r="S34" s="13">
        <f>BL_pooling!AM84</f>
        <v>0</v>
      </c>
      <c r="T34" s="13">
        <f>BL_pooling!AN84</f>
        <v>0</v>
      </c>
      <c r="U34" s="13">
        <f>BL_pooling!AO84</f>
        <v>0</v>
      </c>
      <c r="V34" s="13">
        <f>BL_pooling!AP84</f>
        <v>0</v>
      </c>
      <c r="W34" s="13">
        <f>BL_pooling!AQ84</f>
        <v>0</v>
      </c>
      <c r="X34" s="13">
        <f>BL_pooling!AR84</f>
        <v>0</v>
      </c>
      <c r="Y34" s="13">
        <f>BL_pooling!AS84</f>
        <v>0</v>
      </c>
      <c r="Z34" s="13">
        <f>BL_pooling!AT84</f>
        <v>0</v>
      </c>
      <c r="AA34" s="13">
        <f>BL_pooling!AU84</f>
        <v>0</v>
      </c>
      <c r="AB34" s="13">
        <f>BL_pooling!AV84</f>
        <v>0</v>
      </c>
      <c r="AC34" s="13">
        <f>BL_pooling!AW84</f>
        <v>0</v>
      </c>
      <c r="AI34" s="613" t="s">
        <v>310</v>
      </c>
      <c r="AJ34" s="613"/>
      <c r="BC34" s="405" t="s">
        <v>148</v>
      </c>
      <c r="BD34" s="407"/>
      <c r="BE34" s="407" t="s">
        <v>57</v>
      </c>
      <c r="BF34" s="407">
        <v>2018</v>
      </c>
      <c r="BG34" s="407">
        <v>2019</v>
      </c>
      <c r="BH34" s="406" t="s">
        <v>149</v>
      </c>
      <c r="BI34" s="195" t="s">
        <v>285</v>
      </c>
      <c r="BJ34" s="403" t="s">
        <v>42</v>
      </c>
      <c r="BL34" s="195">
        <v>1</v>
      </c>
      <c r="BM34" s="12">
        <v>0.85</v>
      </c>
      <c r="BN34" s="12">
        <v>0.50694444444444442</v>
      </c>
      <c r="BO34" s="13">
        <v>0.93</v>
      </c>
      <c r="BP34" s="12">
        <v>1</v>
      </c>
      <c r="BQ34" s="12">
        <v>0.50694444444444442</v>
      </c>
      <c r="BR34" s="12">
        <v>0.53594771241830064</v>
      </c>
      <c r="BZ34" s="195">
        <v>1</v>
      </c>
      <c r="CA34" s="12">
        <v>0.42424242424242425</v>
      </c>
      <c r="CB34" s="12">
        <v>0.52380952380952384</v>
      </c>
      <c r="CC34" s="12">
        <v>0.56395995550611788</v>
      </c>
    </row>
    <row r="35" spans="2:81" ht="16.2" thickBot="1" x14ac:dyDescent="0.35">
      <c r="B35" s="453"/>
      <c r="C35" s="273">
        <v>0</v>
      </c>
      <c r="D35" s="274">
        <v>0</v>
      </c>
      <c r="E35" s="274">
        <v>0</v>
      </c>
      <c r="F35" s="274">
        <v>0</v>
      </c>
      <c r="G35" s="274">
        <v>0</v>
      </c>
      <c r="H35" s="274">
        <v>0</v>
      </c>
      <c r="I35" s="274">
        <v>0</v>
      </c>
      <c r="J35" s="274">
        <v>0</v>
      </c>
      <c r="K35" s="274">
        <v>0</v>
      </c>
      <c r="L35" s="274">
        <v>0</v>
      </c>
      <c r="M35" s="274">
        <v>0</v>
      </c>
      <c r="N35" s="274">
        <v>0</v>
      </c>
      <c r="O35" s="132"/>
      <c r="Q35" s="195">
        <v>17</v>
      </c>
      <c r="R35" s="13">
        <f>BL_pooling!AL85</f>
        <v>0</v>
      </c>
      <c r="S35" s="13">
        <f>BL_pooling!AM85</f>
        <v>0</v>
      </c>
      <c r="T35" s="13">
        <f>BL_pooling!AN85</f>
        <v>0</v>
      </c>
      <c r="U35" s="13">
        <f>BL_pooling!AO85</f>
        <v>0</v>
      </c>
      <c r="V35" s="13">
        <f>BL_pooling!AP85</f>
        <v>0</v>
      </c>
      <c r="W35" s="13">
        <f>BL_pooling!AQ85</f>
        <v>0</v>
      </c>
      <c r="X35" s="13">
        <f>BL_pooling!AR85</f>
        <v>0</v>
      </c>
      <c r="Y35" s="13">
        <f>BL_pooling!AS85</f>
        <v>0</v>
      </c>
      <c r="Z35" s="13">
        <f>BL_pooling!AT85</f>
        <v>0</v>
      </c>
      <c r="AA35" s="13">
        <f>BL_pooling!AU85</f>
        <v>0</v>
      </c>
      <c r="AB35" s="13">
        <f>BL_pooling!AV85</f>
        <v>0</v>
      </c>
      <c r="AC35" s="13">
        <f>BL_pooling!AW85</f>
        <v>0</v>
      </c>
      <c r="AI35" s="415" t="s">
        <v>313</v>
      </c>
      <c r="AJ35" s="454">
        <f>ABS(AJ17-$AP$18)</f>
        <v>0.18073207666664182</v>
      </c>
      <c r="BC35" s="409">
        <v>1</v>
      </c>
      <c r="BD35" s="244"/>
      <c r="BE35" s="245">
        <v>9</v>
      </c>
      <c r="BF35" s="245">
        <v>73</v>
      </c>
      <c r="BG35" s="245">
        <v>0</v>
      </c>
      <c r="BH35" s="245">
        <f>SUM(BE35,BF35)</f>
        <v>82</v>
      </c>
      <c r="BI35" s="12">
        <f t="shared" ref="BI35:BI42" si="8">BH35/SUM($BH$35:$BH$42)</f>
        <v>0.53594771241830064</v>
      </c>
      <c r="BJ35" s="12">
        <f>BF35/SUM($BF$35:$BF$42)</f>
        <v>0.50694444444444442</v>
      </c>
      <c r="BL35" s="195">
        <v>2</v>
      </c>
      <c r="BM35" s="12">
        <v>7.0000000000000007E-2</v>
      </c>
      <c r="BN35" s="12">
        <v>0.29166666666666669</v>
      </c>
      <c r="BO35" s="13">
        <v>0.04</v>
      </c>
      <c r="BP35" s="12">
        <v>0</v>
      </c>
      <c r="BQ35" s="12">
        <v>0.29166666666666669</v>
      </c>
      <c r="BR35" s="12">
        <v>0.27450980392156865</v>
      </c>
      <c r="BZ35" s="195">
        <v>2</v>
      </c>
      <c r="CA35" s="12">
        <v>6.0606060606060608E-2</v>
      </c>
      <c r="CB35" s="12">
        <v>0.14285714285714285</v>
      </c>
      <c r="CC35" s="12">
        <v>0.20355951056729699</v>
      </c>
    </row>
    <row r="36" spans="2:81" ht="16.2" thickBot="1" x14ac:dyDescent="0.35">
      <c r="B36" s="135"/>
      <c r="C36" s="273">
        <v>0</v>
      </c>
      <c r="D36" s="274">
        <v>0</v>
      </c>
      <c r="E36" s="274">
        <v>0</v>
      </c>
      <c r="F36" s="274">
        <v>0</v>
      </c>
      <c r="G36" s="274">
        <v>0</v>
      </c>
      <c r="H36" s="274">
        <v>0</v>
      </c>
      <c r="I36" s="274">
        <v>0</v>
      </c>
      <c r="J36" s="274">
        <v>0</v>
      </c>
      <c r="K36" s="274">
        <v>0</v>
      </c>
      <c r="L36" s="274">
        <v>0</v>
      </c>
      <c r="M36" s="274">
        <v>0</v>
      </c>
      <c r="N36" s="274">
        <v>0</v>
      </c>
      <c r="O36" s="132"/>
      <c r="Q36" s="195">
        <v>16</v>
      </c>
      <c r="R36" s="13">
        <f>BL_pooling!AL86</f>
        <v>0</v>
      </c>
      <c r="S36" s="13">
        <f>BL_pooling!AM86</f>
        <v>0</v>
      </c>
      <c r="T36" s="13">
        <f>BL_pooling!AN86</f>
        <v>0</v>
      </c>
      <c r="U36" s="13">
        <f>BL_pooling!AO86</f>
        <v>0</v>
      </c>
      <c r="V36" s="13">
        <f>BL_pooling!AP86</f>
        <v>0</v>
      </c>
      <c r="W36" s="13">
        <f>BL_pooling!AQ86</f>
        <v>0</v>
      </c>
      <c r="X36" s="13">
        <f>BL_pooling!AR86</f>
        <v>0</v>
      </c>
      <c r="Y36" s="13">
        <f>BL_pooling!AS86</f>
        <v>0</v>
      </c>
      <c r="Z36" s="13">
        <f>BL_pooling!AT86</f>
        <v>0</v>
      </c>
      <c r="AA36" s="13">
        <f>BL_pooling!AU86</f>
        <v>0</v>
      </c>
      <c r="AB36" s="13">
        <f>BL_pooling!AV86</f>
        <v>0</v>
      </c>
      <c r="AC36" s="13">
        <f>BL_pooling!AW86</f>
        <v>0</v>
      </c>
      <c r="AI36" s="415" t="s">
        <v>314</v>
      </c>
      <c r="AJ36" s="454">
        <f>ABS(AJ18-$AP$18)</f>
        <v>0.11938486557255135</v>
      </c>
      <c r="BC36" s="409">
        <v>2</v>
      </c>
      <c r="BD36" s="244"/>
      <c r="BE36" s="245">
        <v>0</v>
      </c>
      <c r="BF36" s="245">
        <v>42</v>
      </c>
      <c r="BG36" s="245">
        <v>0</v>
      </c>
      <c r="BH36" s="245">
        <v>42</v>
      </c>
      <c r="BI36" s="12">
        <f t="shared" si="8"/>
        <v>0.27450980392156865</v>
      </c>
      <c r="BJ36" s="12">
        <f t="shared" ref="BJ36:BJ42" si="9">BF36/SUM($BF$35:$BF$42)</f>
        <v>0.29166666666666669</v>
      </c>
      <c r="BL36" s="195">
        <v>3</v>
      </c>
      <c r="BM36" s="12">
        <v>7.0000000000000007E-2</v>
      </c>
      <c r="BN36" s="12">
        <v>6.9444444444444448E-2</v>
      </c>
      <c r="BO36" s="13">
        <v>0.04</v>
      </c>
      <c r="BP36" s="12">
        <v>0</v>
      </c>
      <c r="BQ36" s="12">
        <v>6.9444444444444448E-2</v>
      </c>
      <c r="BR36" s="12">
        <v>6.535947712418301E-2</v>
      </c>
      <c r="BZ36" s="195">
        <v>3</v>
      </c>
      <c r="CA36" s="12">
        <v>9.0909090909090912E-2</v>
      </c>
      <c r="CB36" s="12">
        <v>9.5238095238095233E-2</v>
      </c>
      <c r="CC36" s="12">
        <v>9.2324805339265847E-2</v>
      </c>
    </row>
    <row r="37" spans="2:81" ht="16.2" thickBot="1" x14ac:dyDescent="0.35">
      <c r="B37" s="135"/>
      <c r="C37" s="273">
        <v>0</v>
      </c>
      <c r="D37" s="274">
        <v>0</v>
      </c>
      <c r="E37" s="274">
        <v>0</v>
      </c>
      <c r="F37" s="274">
        <v>0</v>
      </c>
      <c r="G37" s="274">
        <v>0</v>
      </c>
      <c r="H37" s="274">
        <v>0</v>
      </c>
      <c r="I37" s="274">
        <v>0</v>
      </c>
      <c r="J37" s="274">
        <v>0</v>
      </c>
      <c r="K37" s="274">
        <v>0</v>
      </c>
      <c r="L37" s="274">
        <v>0</v>
      </c>
      <c r="M37" s="274">
        <v>0</v>
      </c>
      <c r="N37" s="274">
        <v>0</v>
      </c>
      <c r="O37" s="132"/>
      <c r="Q37" s="195">
        <v>15</v>
      </c>
      <c r="R37" s="13">
        <f>BL_pooling!AL87</f>
        <v>0</v>
      </c>
      <c r="S37" s="13">
        <f>BL_pooling!AM87</f>
        <v>0</v>
      </c>
      <c r="T37" s="13">
        <f>BL_pooling!AN87</f>
        <v>0</v>
      </c>
      <c r="U37" s="13">
        <f>BL_pooling!AO87</f>
        <v>0</v>
      </c>
      <c r="V37" s="13">
        <f>BL_pooling!AP87</f>
        <v>0</v>
      </c>
      <c r="W37" s="13">
        <f>BL_pooling!AQ87</f>
        <v>0</v>
      </c>
      <c r="X37" s="13">
        <f>BL_pooling!AR87</f>
        <v>0</v>
      </c>
      <c r="Y37" s="13">
        <f>BL_pooling!AS87</f>
        <v>0</v>
      </c>
      <c r="Z37" s="13">
        <f>BL_pooling!AT87</f>
        <v>0</v>
      </c>
      <c r="AA37" s="13">
        <f>BL_pooling!AU87</f>
        <v>0</v>
      </c>
      <c r="AB37" s="13">
        <f>BL_pooling!AV87</f>
        <v>0</v>
      </c>
      <c r="AC37" s="13">
        <f>BL_pooling!AW87</f>
        <v>0</v>
      </c>
      <c r="AI37" s="415" t="s">
        <v>315</v>
      </c>
      <c r="AJ37" s="454">
        <v>0</v>
      </c>
      <c r="BC37" s="409">
        <v>3</v>
      </c>
      <c r="BD37" s="244"/>
      <c r="BE37" s="245">
        <v>0</v>
      </c>
      <c r="BF37" s="245">
        <v>10</v>
      </c>
      <c r="BG37" s="245">
        <v>0</v>
      </c>
      <c r="BH37" s="245">
        <v>10</v>
      </c>
      <c r="BI37" s="12">
        <f t="shared" si="8"/>
        <v>6.535947712418301E-2</v>
      </c>
      <c r="BJ37" s="12">
        <f t="shared" si="9"/>
        <v>6.9444444444444448E-2</v>
      </c>
      <c r="BL37" s="195">
        <v>4</v>
      </c>
      <c r="BM37" s="12">
        <v>0</v>
      </c>
      <c r="BN37" s="12">
        <v>8.3333333333333329E-2</v>
      </c>
      <c r="BO37" s="12">
        <v>0</v>
      </c>
      <c r="BP37" s="12">
        <v>0</v>
      </c>
      <c r="BQ37" s="12">
        <v>8.3333333333333329E-2</v>
      </c>
      <c r="BR37" s="12">
        <v>7.8431372549019607E-2</v>
      </c>
      <c r="BZ37" s="195">
        <v>4</v>
      </c>
      <c r="CA37" s="12">
        <v>3.0303030303030304E-2</v>
      </c>
      <c r="CB37" s="12">
        <v>0</v>
      </c>
      <c r="CC37" s="12">
        <v>7.0077864293659628E-2</v>
      </c>
    </row>
    <row r="38" spans="2:81" ht="16.2" thickBot="1" x14ac:dyDescent="0.35">
      <c r="B38" s="135"/>
      <c r="C38" s="273">
        <v>0</v>
      </c>
      <c r="D38" s="274">
        <v>0</v>
      </c>
      <c r="E38" s="274">
        <v>0</v>
      </c>
      <c r="F38" s="274">
        <v>0</v>
      </c>
      <c r="G38" s="274">
        <v>0</v>
      </c>
      <c r="H38" s="274">
        <v>0</v>
      </c>
      <c r="I38" s="274">
        <v>0</v>
      </c>
      <c r="J38" s="274">
        <v>0</v>
      </c>
      <c r="K38" s="274">
        <v>0</v>
      </c>
      <c r="L38" s="274">
        <v>0</v>
      </c>
      <c r="M38" s="274">
        <v>0</v>
      </c>
      <c r="N38" s="274">
        <v>0</v>
      </c>
      <c r="O38" s="132"/>
      <c r="Q38" s="195">
        <v>14</v>
      </c>
      <c r="R38" s="13">
        <f>BL_pooling!AL88</f>
        <v>0</v>
      </c>
      <c r="S38" s="13">
        <f>BL_pooling!AM88</f>
        <v>0</v>
      </c>
      <c r="T38" s="13">
        <f>BL_pooling!AN88</f>
        <v>0</v>
      </c>
      <c r="U38" s="13">
        <f>BL_pooling!AO88</f>
        <v>0</v>
      </c>
      <c r="V38" s="13">
        <f>BL_pooling!AP88</f>
        <v>0</v>
      </c>
      <c r="W38" s="13">
        <f>BL_pooling!AQ88</f>
        <v>0</v>
      </c>
      <c r="X38" s="13">
        <f>BL_pooling!AR88</f>
        <v>0</v>
      </c>
      <c r="Y38" s="13">
        <f>BL_pooling!AS88</f>
        <v>0</v>
      </c>
      <c r="Z38" s="13">
        <f>BL_pooling!AT88</f>
        <v>0</v>
      </c>
      <c r="AA38" s="13">
        <f>BL_pooling!AU88</f>
        <v>0</v>
      </c>
      <c r="AB38" s="13">
        <f>BL_pooling!AV88</f>
        <v>0</v>
      </c>
      <c r="AC38" s="13">
        <f>BL_pooling!AW88</f>
        <v>0</v>
      </c>
      <c r="AJ38" s="12"/>
      <c r="BC38" s="409">
        <v>4</v>
      </c>
      <c r="BD38" s="244"/>
      <c r="BE38" s="245">
        <v>0</v>
      </c>
      <c r="BF38" s="245">
        <v>12</v>
      </c>
      <c r="BG38" s="245">
        <v>0</v>
      </c>
      <c r="BH38" s="245">
        <v>12</v>
      </c>
      <c r="BI38" s="12">
        <f t="shared" si="8"/>
        <v>7.8431372549019607E-2</v>
      </c>
      <c r="BJ38" s="12">
        <f t="shared" si="9"/>
        <v>8.3333333333333329E-2</v>
      </c>
      <c r="BL38" s="195">
        <v>5</v>
      </c>
      <c r="BM38" s="12">
        <v>0</v>
      </c>
      <c r="BN38" s="12">
        <v>1.3888888888888888E-2</v>
      </c>
      <c r="BO38" s="12">
        <v>0</v>
      </c>
      <c r="BP38" s="12">
        <v>0</v>
      </c>
      <c r="BQ38" s="12">
        <v>1.3888888888888888E-2</v>
      </c>
      <c r="BR38" s="12">
        <v>1.3071895424836602E-2</v>
      </c>
      <c r="BZ38" s="195">
        <v>5</v>
      </c>
      <c r="CA38" s="12">
        <v>0</v>
      </c>
      <c r="CB38" s="12">
        <v>4.7619047619047616E-2</v>
      </c>
      <c r="CC38" s="12">
        <v>1.7797552836484983E-2</v>
      </c>
    </row>
    <row r="39" spans="2:81" ht="16.2" thickBot="1" x14ac:dyDescent="0.35">
      <c r="B39" s="135"/>
      <c r="C39" s="273">
        <v>0</v>
      </c>
      <c r="D39" s="274">
        <v>0</v>
      </c>
      <c r="E39" s="274">
        <v>0</v>
      </c>
      <c r="F39" s="274">
        <v>0</v>
      </c>
      <c r="G39" s="274">
        <v>0</v>
      </c>
      <c r="H39" s="274">
        <v>0</v>
      </c>
      <c r="I39" s="274">
        <v>0</v>
      </c>
      <c r="J39" s="274">
        <v>0</v>
      </c>
      <c r="K39" s="274">
        <v>0</v>
      </c>
      <c r="L39" s="274">
        <v>0</v>
      </c>
      <c r="M39" s="274">
        <v>0</v>
      </c>
      <c r="N39" s="274">
        <v>0</v>
      </c>
      <c r="O39" s="132"/>
      <c r="Q39" s="195">
        <v>13</v>
      </c>
      <c r="R39" s="13">
        <f>BL_pooling!AL89</f>
        <v>0</v>
      </c>
      <c r="S39" s="13">
        <f>BL_pooling!AM89</f>
        <v>0</v>
      </c>
      <c r="T39" s="13">
        <f>BL_pooling!AN89</f>
        <v>0</v>
      </c>
      <c r="U39" s="13">
        <f>BL_pooling!AO89</f>
        <v>0</v>
      </c>
      <c r="V39" s="13">
        <f>BL_pooling!AP89</f>
        <v>0</v>
      </c>
      <c r="W39" s="13">
        <f>BL_pooling!AQ89</f>
        <v>0</v>
      </c>
      <c r="X39" s="13">
        <f>BL_pooling!AR89</f>
        <v>0</v>
      </c>
      <c r="Y39" s="13">
        <f>BL_pooling!AS89</f>
        <v>0</v>
      </c>
      <c r="Z39" s="13">
        <f>BL_pooling!AT89</f>
        <v>0</v>
      </c>
      <c r="AA39" s="13">
        <f>BL_pooling!AU89</f>
        <v>0</v>
      </c>
      <c r="AB39" s="13">
        <f>BL_pooling!AV89</f>
        <v>0</v>
      </c>
      <c r="AC39" s="13">
        <f>BL_pooling!AW89</f>
        <v>0</v>
      </c>
      <c r="AI39" s="613" t="s">
        <v>57</v>
      </c>
      <c r="AJ39" s="613"/>
      <c r="BC39" s="409">
        <v>5</v>
      </c>
      <c r="BD39" s="244"/>
      <c r="BE39" s="245">
        <v>0</v>
      </c>
      <c r="BF39" s="245">
        <v>2</v>
      </c>
      <c r="BG39" s="245">
        <v>0</v>
      </c>
      <c r="BH39" s="245">
        <v>2</v>
      </c>
      <c r="BI39" s="12">
        <f t="shared" si="8"/>
        <v>1.3071895424836602E-2</v>
      </c>
      <c r="BJ39" s="12">
        <f t="shared" si="9"/>
        <v>1.3888888888888888E-2</v>
      </c>
      <c r="BL39" s="195">
        <v>6</v>
      </c>
      <c r="BM39" s="12">
        <v>0</v>
      </c>
      <c r="BN39" s="12">
        <v>0</v>
      </c>
      <c r="BO39" s="12">
        <v>0</v>
      </c>
      <c r="BP39" s="12">
        <v>0</v>
      </c>
      <c r="BQ39" s="12">
        <v>0</v>
      </c>
      <c r="BR39" s="12">
        <v>0</v>
      </c>
      <c r="BZ39" s="195">
        <v>6</v>
      </c>
      <c r="CA39" s="12">
        <v>0</v>
      </c>
      <c r="CB39" s="12">
        <v>0</v>
      </c>
      <c r="CC39" s="12">
        <v>2.5583982202447165E-2</v>
      </c>
    </row>
    <row r="40" spans="2:81" ht="15.6" x14ac:dyDescent="0.3">
      <c r="B40" s="135"/>
      <c r="C40" s="273">
        <v>0</v>
      </c>
      <c r="D40" s="274">
        <v>0</v>
      </c>
      <c r="E40" s="274">
        <v>0</v>
      </c>
      <c r="F40" s="274">
        <v>0</v>
      </c>
      <c r="G40" s="274">
        <v>0</v>
      </c>
      <c r="H40" s="274">
        <v>0</v>
      </c>
      <c r="I40" s="274">
        <v>0</v>
      </c>
      <c r="J40" s="274">
        <v>0</v>
      </c>
      <c r="K40" s="274">
        <v>0</v>
      </c>
      <c r="L40" s="274">
        <v>0</v>
      </c>
      <c r="M40" s="274">
        <v>0</v>
      </c>
      <c r="N40" s="274">
        <v>0</v>
      </c>
      <c r="O40" s="132"/>
      <c r="Q40" s="195">
        <v>12</v>
      </c>
      <c r="R40" s="13">
        <f>BL_pooling!AL90</f>
        <v>0</v>
      </c>
      <c r="S40" s="13">
        <f>BL_pooling!AM90</f>
        <v>0</v>
      </c>
      <c r="T40" s="13">
        <f>BL_pooling!AN90</f>
        <v>0</v>
      </c>
      <c r="U40" s="13">
        <f>BL_pooling!AO90</f>
        <v>0</v>
      </c>
      <c r="V40" s="13">
        <f>BL_pooling!AP90</f>
        <v>0</v>
      </c>
      <c r="W40" s="13">
        <f>BL_pooling!AQ90</f>
        <v>0</v>
      </c>
      <c r="X40" s="13">
        <f>BL_pooling!AR90</f>
        <v>0</v>
      </c>
      <c r="Y40" s="13">
        <f>BL_pooling!AS90</f>
        <v>0</v>
      </c>
      <c r="Z40" s="13">
        <f>BL_pooling!AT90</f>
        <v>0</v>
      </c>
      <c r="AA40" s="13">
        <f>BL_pooling!AU90</f>
        <v>0</v>
      </c>
      <c r="AB40" s="13">
        <f>BL_pooling!AV90</f>
        <v>0</v>
      </c>
      <c r="AC40" s="13">
        <f>BL_pooling!AW90</f>
        <v>0</v>
      </c>
      <c r="AI40" s="415" t="s">
        <v>313</v>
      </c>
      <c r="AJ40" s="454">
        <f>ABS(AJ22-$AP$18)</f>
        <v>0.18073207666664182</v>
      </c>
      <c r="BC40" s="276" t="s">
        <v>217</v>
      </c>
      <c r="BD40" s="249"/>
      <c r="BE40" s="245">
        <v>0</v>
      </c>
      <c r="BF40" s="245">
        <v>0</v>
      </c>
      <c r="BG40" s="245">
        <v>0</v>
      </c>
      <c r="BH40" s="245">
        <v>0</v>
      </c>
      <c r="BI40" s="12">
        <f t="shared" si="8"/>
        <v>0</v>
      </c>
      <c r="BJ40" s="12">
        <f t="shared" si="9"/>
        <v>0</v>
      </c>
      <c r="BL40" s="383" t="s">
        <v>218</v>
      </c>
      <c r="BM40" s="12">
        <v>0</v>
      </c>
      <c r="BN40" s="12">
        <v>2.7777777777777776E-2</v>
      </c>
      <c r="BO40" s="12">
        <v>0</v>
      </c>
      <c r="BP40" s="12">
        <v>0</v>
      </c>
      <c r="BQ40" s="12">
        <v>2.7777777777777776E-2</v>
      </c>
      <c r="BR40" s="12">
        <v>2.6143790849673203E-2</v>
      </c>
      <c r="BZ40" s="383" t="s">
        <v>218</v>
      </c>
      <c r="CA40" s="12">
        <v>0</v>
      </c>
      <c r="CB40" s="12">
        <v>0</v>
      </c>
      <c r="CC40" s="12">
        <v>8.8987764182424916E-3</v>
      </c>
    </row>
    <row r="41" spans="2:81" ht="16.2" thickBot="1" x14ac:dyDescent="0.35">
      <c r="B41" s="135"/>
      <c r="C41" s="273">
        <v>0</v>
      </c>
      <c r="D41" s="274">
        <v>0</v>
      </c>
      <c r="E41" s="274">
        <v>0</v>
      </c>
      <c r="F41" s="274">
        <v>0</v>
      </c>
      <c r="G41" s="274">
        <v>0</v>
      </c>
      <c r="H41" s="274">
        <v>0</v>
      </c>
      <c r="I41" s="274">
        <v>0</v>
      </c>
      <c r="J41" s="274">
        <v>0</v>
      </c>
      <c r="K41" s="274">
        <v>0</v>
      </c>
      <c r="L41" s="274">
        <v>0</v>
      </c>
      <c r="M41" s="274">
        <v>0</v>
      </c>
      <c r="N41" s="274">
        <v>0</v>
      </c>
      <c r="O41" s="132"/>
      <c r="Q41" s="195">
        <v>11</v>
      </c>
      <c r="R41" s="13">
        <f>BL_pooling!AL91</f>
        <v>0</v>
      </c>
      <c r="S41" s="13">
        <f>BL_pooling!AM91</f>
        <v>0</v>
      </c>
      <c r="T41" s="13">
        <f>BL_pooling!AN91</f>
        <v>0</v>
      </c>
      <c r="U41" s="13">
        <f>BL_pooling!AO91</f>
        <v>0</v>
      </c>
      <c r="V41" s="13">
        <f>BL_pooling!AP91</f>
        <v>0</v>
      </c>
      <c r="W41" s="13">
        <f>BL_pooling!AQ91</f>
        <v>0</v>
      </c>
      <c r="X41" s="13">
        <f>BL_pooling!AR91</f>
        <v>0</v>
      </c>
      <c r="Y41" s="13">
        <f>BL_pooling!AS91</f>
        <v>0</v>
      </c>
      <c r="Z41" s="13">
        <f>BL_pooling!AT91</f>
        <v>0</v>
      </c>
      <c r="AA41" s="13">
        <f>BL_pooling!AU91</f>
        <v>0</v>
      </c>
      <c r="AB41" s="13">
        <f>BL_pooling!AV91</f>
        <v>0</v>
      </c>
      <c r="AC41" s="13">
        <f>BL_pooling!AW91</f>
        <v>0</v>
      </c>
      <c r="AI41" s="415" t="s">
        <v>314</v>
      </c>
      <c r="AJ41" s="454">
        <f>ABS(AJ23-$AP$18)</f>
        <v>0.11938486557255135</v>
      </c>
      <c r="BC41" s="277" t="s">
        <v>218</v>
      </c>
      <c r="BD41" s="244"/>
      <c r="BE41" s="245">
        <v>0</v>
      </c>
      <c r="BF41" s="245">
        <v>4</v>
      </c>
      <c r="BG41" s="245">
        <v>0</v>
      </c>
      <c r="BH41" s="245">
        <v>4</v>
      </c>
      <c r="BI41" s="12">
        <f t="shared" si="8"/>
        <v>2.6143790849673203E-2</v>
      </c>
      <c r="BJ41" s="12">
        <f t="shared" si="9"/>
        <v>2.7777777777777776E-2</v>
      </c>
      <c r="BL41" s="383" t="s">
        <v>219</v>
      </c>
      <c r="BM41" s="12">
        <v>0</v>
      </c>
      <c r="BN41" s="12">
        <v>6.9444444444444441E-3</v>
      </c>
      <c r="BO41" s="12">
        <v>0</v>
      </c>
      <c r="BP41" s="12">
        <v>0</v>
      </c>
      <c r="BQ41" s="12">
        <v>6.9444444444444441E-3</v>
      </c>
      <c r="BR41" s="12">
        <v>6.5359477124183009E-3</v>
      </c>
      <c r="BZ41" s="383" t="s">
        <v>219</v>
      </c>
      <c r="CA41" s="12">
        <v>0</v>
      </c>
      <c r="CB41" s="12">
        <v>0</v>
      </c>
      <c r="CC41" s="12">
        <v>1.7797552836484983E-2</v>
      </c>
    </row>
    <row r="42" spans="2:81" ht="15.6" x14ac:dyDescent="0.3">
      <c r="B42" s="135"/>
      <c r="C42" s="273">
        <v>0</v>
      </c>
      <c r="D42" s="274">
        <v>0</v>
      </c>
      <c r="E42" s="274">
        <v>0</v>
      </c>
      <c r="F42" s="274">
        <v>0</v>
      </c>
      <c r="G42" s="274">
        <v>0</v>
      </c>
      <c r="H42" s="274">
        <v>0</v>
      </c>
      <c r="I42" s="274">
        <v>0</v>
      </c>
      <c r="J42" s="274">
        <v>0</v>
      </c>
      <c r="K42" s="274">
        <v>0</v>
      </c>
      <c r="L42" s="274">
        <v>0</v>
      </c>
      <c r="M42" s="274">
        <v>0</v>
      </c>
      <c r="N42" s="274">
        <v>0</v>
      </c>
      <c r="O42" s="132"/>
      <c r="Q42" s="195">
        <v>10</v>
      </c>
      <c r="R42" s="13">
        <f>BL_pooling!AL92</f>
        <v>0</v>
      </c>
      <c r="S42" s="13">
        <f>BL_pooling!AM92</f>
        <v>0</v>
      </c>
      <c r="T42" s="13">
        <f>BL_pooling!AN92</f>
        <v>0</v>
      </c>
      <c r="U42" s="13">
        <f>BL_pooling!AO92</f>
        <v>0</v>
      </c>
      <c r="V42" s="13">
        <f>BL_pooling!AP92</f>
        <v>0</v>
      </c>
      <c r="W42" s="13">
        <f>BL_pooling!AQ92</f>
        <v>2.3715415019762841E-2</v>
      </c>
      <c r="X42" s="13">
        <f>BL_pooling!AR92</f>
        <v>0</v>
      </c>
      <c r="Y42" s="13">
        <f>BL_pooling!AS92</f>
        <v>0</v>
      </c>
      <c r="Z42" s="13">
        <f>BL_pooling!AT92</f>
        <v>0</v>
      </c>
      <c r="AA42" s="13">
        <f>BL_pooling!AU92</f>
        <v>2.4390243902439024E-3</v>
      </c>
      <c r="AB42" s="13">
        <f>BL_pooling!AV92</f>
        <v>2.4390243902439024E-3</v>
      </c>
      <c r="AC42" s="13">
        <f>BL_pooling!AW92</f>
        <v>2.4390243902439024E-3</v>
      </c>
      <c r="AI42" s="415" t="s">
        <v>315</v>
      </c>
      <c r="AJ42" s="454">
        <v>0</v>
      </c>
      <c r="BC42" s="382" t="s">
        <v>219</v>
      </c>
      <c r="BD42" s="381"/>
      <c r="BE42" s="245">
        <v>0</v>
      </c>
      <c r="BF42" s="245">
        <v>1</v>
      </c>
      <c r="BG42" s="245">
        <v>0</v>
      </c>
      <c r="BH42" s="245">
        <v>1</v>
      </c>
      <c r="BI42" s="12">
        <f t="shared" si="8"/>
        <v>6.5359477124183009E-3</v>
      </c>
      <c r="BJ42" s="12">
        <f t="shared" si="9"/>
        <v>6.9444444444444441E-3</v>
      </c>
    </row>
    <row r="43" spans="2:81" ht="15.6" x14ac:dyDescent="0.3">
      <c r="B43" s="135"/>
      <c r="C43" s="273">
        <v>0</v>
      </c>
      <c r="D43" s="274">
        <v>0</v>
      </c>
      <c r="E43" s="274">
        <v>0</v>
      </c>
      <c r="F43" s="274">
        <v>0</v>
      </c>
      <c r="G43" s="274">
        <v>0</v>
      </c>
      <c r="H43" s="274">
        <v>0</v>
      </c>
      <c r="I43" s="274">
        <v>0</v>
      </c>
      <c r="J43" s="274">
        <v>0</v>
      </c>
      <c r="K43" s="274">
        <v>0</v>
      </c>
      <c r="L43" s="274">
        <v>0</v>
      </c>
      <c r="M43" s="274">
        <v>0</v>
      </c>
      <c r="N43" s="274">
        <v>0</v>
      </c>
      <c r="O43" s="132"/>
      <c r="Q43" s="195">
        <v>9</v>
      </c>
      <c r="R43" s="13">
        <f>BL_pooling!AL93</f>
        <v>0</v>
      </c>
      <c r="S43" s="13">
        <f>BL_pooling!AM93</f>
        <v>0</v>
      </c>
      <c r="T43" s="13">
        <f>BL_pooling!AN93</f>
        <v>0</v>
      </c>
      <c r="U43" s="13">
        <f>BL_pooling!AO93</f>
        <v>0</v>
      </c>
      <c r="V43" s="13">
        <f>BL_pooling!AP93</f>
        <v>0</v>
      </c>
      <c r="W43" s="13">
        <f>BL_pooling!AQ93</f>
        <v>4.7430830039525682E-2</v>
      </c>
      <c r="X43" s="13">
        <f>BL_pooling!AR93</f>
        <v>0</v>
      </c>
      <c r="Y43" s="13">
        <f>BL_pooling!AS93</f>
        <v>0</v>
      </c>
      <c r="Z43" s="13">
        <f>BL_pooling!AT93</f>
        <v>0</v>
      </c>
      <c r="AA43" s="13">
        <f>BL_pooling!AU93</f>
        <v>7.3170731707317086E-3</v>
      </c>
      <c r="AB43" s="13">
        <f>BL_pooling!AV93</f>
        <v>7.3170731707317086E-3</v>
      </c>
      <c r="AC43" s="13">
        <f>BL_pooling!AW93</f>
        <v>7.3170731707317086E-3</v>
      </c>
    </row>
    <row r="44" spans="2:81" ht="15.6" x14ac:dyDescent="0.3">
      <c r="B44" s="135"/>
      <c r="C44" s="273">
        <v>0</v>
      </c>
      <c r="D44" s="274">
        <v>0</v>
      </c>
      <c r="E44" s="274">
        <v>0</v>
      </c>
      <c r="F44" s="274">
        <v>0</v>
      </c>
      <c r="G44" s="274">
        <v>0</v>
      </c>
      <c r="H44" s="274">
        <v>0</v>
      </c>
      <c r="I44" s="274">
        <v>0</v>
      </c>
      <c r="J44" s="274">
        <v>0</v>
      </c>
      <c r="K44" s="274">
        <v>0</v>
      </c>
      <c r="L44" s="274">
        <v>0</v>
      </c>
      <c r="M44" s="274">
        <v>0</v>
      </c>
      <c r="N44" s="274">
        <v>0</v>
      </c>
      <c r="Q44" s="195">
        <v>8</v>
      </c>
      <c r="R44" s="13">
        <f>BL_pooling!AL94</f>
        <v>0</v>
      </c>
      <c r="S44" s="13">
        <f>BL_pooling!AM94</f>
        <v>0</v>
      </c>
      <c r="T44" s="13">
        <f>BL_pooling!AN94</f>
        <v>0</v>
      </c>
      <c r="U44" s="13">
        <f>BL_pooling!AO94</f>
        <v>0</v>
      </c>
      <c r="V44" s="13">
        <f>BL_pooling!AP94</f>
        <v>0</v>
      </c>
      <c r="W44" s="13">
        <f>BL_pooling!AQ94</f>
        <v>7.1146245059288543E-2</v>
      </c>
      <c r="X44" s="13">
        <f>BL_pooling!AR94</f>
        <v>0</v>
      </c>
      <c r="Y44" s="13">
        <f>BL_pooling!AS94</f>
        <v>0</v>
      </c>
      <c r="Z44" s="13">
        <f>BL_pooling!AT94</f>
        <v>0</v>
      </c>
      <c r="AA44" s="13">
        <f>BL_pooling!AU94</f>
        <v>1.2195121951219513E-2</v>
      </c>
      <c r="AB44" s="13">
        <f>BL_pooling!AV94</f>
        <v>1.2195121951219513E-2</v>
      </c>
      <c r="AC44" s="13">
        <f>BL_pooling!AW94</f>
        <v>1.2195121951219513E-2</v>
      </c>
    </row>
    <row r="45" spans="2:81" ht="16.2" thickBot="1" x14ac:dyDescent="0.35">
      <c r="B45" s="135"/>
      <c r="C45" s="273">
        <v>0</v>
      </c>
      <c r="D45" s="274">
        <v>0</v>
      </c>
      <c r="E45" s="274">
        <v>0</v>
      </c>
      <c r="F45" s="274">
        <v>0</v>
      </c>
      <c r="G45" s="274">
        <v>0</v>
      </c>
      <c r="H45" s="274">
        <v>0</v>
      </c>
      <c r="I45" s="274">
        <v>0</v>
      </c>
      <c r="J45" s="274">
        <v>0</v>
      </c>
      <c r="K45" s="274">
        <v>0</v>
      </c>
      <c r="L45" s="274">
        <v>0</v>
      </c>
      <c r="M45" s="274">
        <v>0</v>
      </c>
      <c r="N45" s="274">
        <v>0</v>
      </c>
      <c r="Q45" s="195">
        <v>7</v>
      </c>
      <c r="R45" s="13">
        <f>BL_pooling!AL95</f>
        <v>0</v>
      </c>
      <c r="S45" s="13">
        <f>BL_pooling!AM95</f>
        <v>0</v>
      </c>
      <c r="T45" s="13">
        <f>BL_pooling!AN95</f>
        <v>0</v>
      </c>
      <c r="U45" s="13">
        <f>BL_pooling!AO95</f>
        <v>0</v>
      </c>
      <c r="V45" s="13">
        <f>BL_pooling!AP95</f>
        <v>0</v>
      </c>
      <c r="W45" s="13">
        <f>BL_pooling!AQ95</f>
        <v>9.4861660079051363E-2</v>
      </c>
      <c r="X45" s="13">
        <f>BL_pooling!AR95</f>
        <v>0</v>
      </c>
      <c r="Y45" s="13">
        <f>BL_pooling!AS95</f>
        <v>0</v>
      </c>
      <c r="Z45" s="13">
        <f>BL_pooling!AT95</f>
        <v>0</v>
      </c>
      <c r="AA45" s="13">
        <f>BL_pooling!AU95</f>
        <v>1.7073170731707318E-2</v>
      </c>
      <c r="AB45" s="13">
        <f>BL_pooling!AV95</f>
        <v>1.7073170731707318E-2</v>
      </c>
      <c r="AC45" s="13">
        <f>BL_pooling!AW95</f>
        <v>1.7073170731707318E-2</v>
      </c>
      <c r="BC45" s="280" t="s">
        <v>168</v>
      </c>
      <c r="BD45" s="280"/>
      <c r="BE45" s="280"/>
      <c r="BF45" s="280"/>
      <c r="BG45" s="280"/>
      <c r="BH45" s="280"/>
      <c r="BI45" s="280"/>
      <c r="BL45" s="195" t="s">
        <v>276</v>
      </c>
    </row>
    <row r="46" spans="2:81" ht="16.2" thickBot="1" x14ac:dyDescent="0.35">
      <c r="B46" s="135"/>
      <c r="C46" s="273">
        <v>0</v>
      </c>
      <c r="D46" s="274">
        <v>0</v>
      </c>
      <c r="E46" s="274">
        <v>0</v>
      </c>
      <c r="F46" s="274">
        <v>0</v>
      </c>
      <c r="G46" s="274">
        <v>0</v>
      </c>
      <c r="H46" s="274">
        <v>0</v>
      </c>
      <c r="I46" s="274">
        <v>0</v>
      </c>
      <c r="J46" s="274">
        <v>0</v>
      </c>
      <c r="K46" s="274">
        <v>0</v>
      </c>
      <c r="L46" s="274">
        <v>0</v>
      </c>
      <c r="M46" s="274">
        <v>0</v>
      </c>
      <c r="N46" s="274">
        <v>0</v>
      </c>
      <c r="Q46" s="195">
        <v>6</v>
      </c>
      <c r="R46" s="13">
        <f>BL_pooling!AL96</f>
        <v>0</v>
      </c>
      <c r="S46" s="13">
        <f>BL_pooling!AM96</f>
        <v>0</v>
      </c>
      <c r="T46" s="13">
        <f>BL_pooling!AN96</f>
        <v>0</v>
      </c>
      <c r="U46" s="13">
        <f>BL_pooling!AO96</f>
        <v>0</v>
      </c>
      <c r="V46" s="13">
        <f>BL_pooling!AP96</f>
        <v>0</v>
      </c>
      <c r="W46" s="13">
        <f>BL_pooling!AQ96</f>
        <v>0.11857707509881422</v>
      </c>
      <c r="X46" s="13">
        <f>BL_pooling!AR96</f>
        <v>0</v>
      </c>
      <c r="Y46" s="13">
        <f>BL_pooling!AS96</f>
        <v>0</v>
      </c>
      <c r="Z46" s="13">
        <f>BL_pooling!AT96</f>
        <v>3.3898305084745762E-3</v>
      </c>
      <c r="AA46" s="13">
        <f>BL_pooling!AU96</f>
        <v>2.1951219512195121E-2</v>
      </c>
      <c r="AB46" s="13">
        <f>BL_pooling!AV96</f>
        <v>2.1951219512195121E-2</v>
      </c>
      <c r="AC46" s="13">
        <f>BL_pooling!AW96</f>
        <v>2.1951219512195121E-2</v>
      </c>
      <c r="BC46" s="252" t="s">
        <v>152</v>
      </c>
      <c r="BD46" s="254" t="s">
        <v>154</v>
      </c>
      <c r="BL46" s="280" t="s">
        <v>275</v>
      </c>
      <c r="BM46" s="280"/>
      <c r="BN46" s="280"/>
      <c r="BO46" s="280"/>
    </row>
    <row r="47" spans="2:81" ht="27" thickBot="1" x14ac:dyDescent="0.5">
      <c r="B47" s="135"/>
      <c r="C47" s="135"/>
      <c r="D47" s="135"/>
      <c r="E47" s="135"/>
      <c r="F47" s="135"/>
      <c r="G47" s="135"/>
      <c r="H47" s="135"/>
      <c r="I47" s="135"/>
      <c r="J47" s="135"/>
      <c r="K47" s="135"/>
      <c r="L47" s="135"/>
      <c r="M47" s="135"/>
      <c r="N47" s="135"/>
      <c r="Q47" s="195">
        <v>5</v>
      </c>
      <c r="R47" s="13">
        <f>BL_pooling!AL97</f>
        <v>0</v>
      </c>
      <c r="S47" s="13">
        <f>BL_pooling!AM97</f>
        <v>0</v>
      </c>
      <c r="T47" s="13">
        <f>BL_pooling!AN97</f>
        <v>0</v>
      </c>
      <c r="U47" s="13">
        <f>BL_pooling!AO97</f>
        <v>1.1029411764705883E-2</v>
      </c>
      <c r="V47" s="13">
        <f>BL_pooling!AP97</f>
        <v>0</v>
      </c>
      <c r="W47" s="13">
        <f>BL_pooling!AQ97</f>
        <v>0.14229249011857709</v>
      </c>
      <c r="X47" s="13">
        <f>BL_pooling!AR97</f>
        <v>1.6304347826086956E-2</v>
      </c>
      <c r="Y47" s="13">
        <f>BL_pooling!AS97</f>
        <v>0</v>
      </c>
      <c r="Z47" s="13">
        <f>BL_pooling!AT97</f>
        <v>6.7796610169491523E-3</v>
      </c>
      <c r="AA47" s="13">
        <f>BL_pooling!AU97</f>
        <v>2.682926829268293E-2</v>
      </c>
      <c r="AB47" s="13">
        <f>BL_pooling!AV97</f>
        <v>2.682926829268293E-2</v>
      </c>
      <c r="AC47" s="13">
        <f>BL_pooling!AW97</f>
        <v>2.682926829268293E-2</v>
      </c>
      <c r="AI47" s="611" t="s">
        <v>351</v>
      </c>
      <c r="AJ47" s="611"/>
      <c r="BC47" s="255" t="s">
        <v>179</v>
      </c>
      <c r="BD47" s="256">
        <v>284</v>
      </c>
      <c r="BE47" s="12">
        <f>BD47/$BD$47</f>
        <v>1</v>
      </c>
      <c r="BF47" s="13">
        <f>1-BE47</f>
        <v>0</v>
      </c>
      <c r="BL47" s="195" t="s">
        <v>148</v>
      </c>
      <c r="BM47" s="195" t="s">
        <v>265</v>
      </c>
      <c r="BN47" s="195" t="s">
        <v>264</v>
      </c>
      <c r="BO47" s="195" t="s">
        <v>222</v>
      </c>
      <c r="BP47" s="195" t="s">
        <v>282</v>
      </c>
    </row>
    <row r="48" spans="2:81" ht="27" thickBot="1" x14ac:dyDescent="0.35">
      <c r="B48" s="136" t="s">
        <v>266</v>
      </c>
      <c r="C48" s="380"/>
      <c r="D48" s="380"/>
      <c r="E48" s="380"/>
      <c r="F48" s="380"/>
      <c r="G48" s="380"/>
      <c r="H48" s="380"/>
      <c r="I48" s="380"/>
      <c r="J48" s="380"/>
      <c r="K48" s="380"/>
      <c r="L48" s="380"/>
      <c r="M48" s="380"/>
      <c r="N48" s="380"/>
      <c r="Q48" s="195">
        <v>4</v>
      </c>
      <c r="R48" s="13">
        <f>BL_pooling!AL98</f>
        <v>4.2194092827004216E-3</v>
      </c>
      <c r="S48" s="13">
        <f>BL_pooling!AM98</f>
        <v>4.2194092827004216E-3</v>
      </c>
      <c r="T48" s="13">
        <f>BL_pooling!AN98</f>
        <v>4.2194092827004216E-3</v>
      </c>
      <c r="U48" s="13">
        <f>BL_pooling!AO98</f>
        <v>2.9411764705882349E-2</v>
      </c>
      <c r="V48" s="13">
        <f>BL_pooling!AP98</f>
        <v>0</v>
      </c>
      <c r="W48" s="13">
        <f>BL_pooling!AQ98</f>
        <v>0.16600790513833993</v>
      </c>
      <c r="X48" s="13">
        <f>BL_pooling!AR98</f>
        <v>3.8043478260869568E-2</v>
      </c>
      <c r="Y48" s="13">
        <f>BL_pooling!AS98</f>
        <v>0</v>
      </c>
      <c r="Z48" s="13">
        <f>BL_pooling!AT98</f>
        <v>1.0169491525423728E-2</v>
      </c>
      <c r="AA48" s="13">
        <f>BL_pooling!AU98</f>
        <v>3.1707317073170732E-2</v>
      </c>
      <c r="AB48" s="13">
        <f>BL_pooling!AV98</f>
        <v>3.1707317073170732E-2</v>
      </c>
      <c r="AC48" s="13">
        <f>BL_pooling!AW98</f>
        <v>3.1707317073170732E-2</v>
      </c>
      <c r="AI48" s="612" t="s">
        <v>88</v>
      </c>
      <c r="AJ48" s="612"/>
      <c r="BC48" s="255" t="s">
        <v>180</v>
      </c>
      <c r="BD48" s="256">
        <v>215</v>
      </c>
      <c r="BE48" s="12">
        <f>BD48/$BD$47</f>
        <v>0.75704225352112675</v>
      </c>
      <c r="BF48" s="13">
        <f>1-BE48</f>
        <v>0.24295774647887325</v>
      </c>
      <c r="BL48" s="195" t="s">
        <v>151</v>
      </c>
      <c r="BM48" s="12">
        <f>26/27</f>
        <v>0.96296296296296291</v>
      </c>
      <c r="BN48" s="12">
        <v>1</v>
      </c>
      <c r="BO48" s="12">
        <v>1</v>
      </c>
      <c r="BP48" s="12">
        <v>1</v>
      </c>
    </row>
    <row r="49" spans="1:68" ht="27" thickBot="1" x14ac:dyDescent="0.35">
      <c r="B49" s="135" t="s">
        <v>44</v>
      </c>
      <c r="C49" s="135">
        <v>1</v>
      </c>
      <c r="D49" s="135">
        <v>2</v>
      </c>
      <c r="E49" s="135">
        <v>3</v>
      </c>
      <c r="F49" s="135">
        <v>4</v>
      </c>
      <c r="G49" s="135">
        <v>5</v>
      </c>
      <c r="H49" s="135">
        <v>6</v>
      </c>
      <c r="I49" s="135">
        <v>7</v>
      </c>
      <c r="J49" s="135">
        <v>8</v>
      </c>
      <c r="K49" s="135">
        <v>9</v>
      </c>
      <c r="L49" s="135">
        <v>10</v>
      </c>
      <c r="M49" s="135">
        <v>11</v>
      </c>
      <c r="N49" s="135">
        <v>12</v>
      </c>
      <c r="Q49" s="195">
        <v>3</v>
      </c>
      <c r="R49" s="13">
        <f>BL_pooling!AL99</f>
        <v>3.7974683544303799E-2</v>
      </c>
      <c r="S49" s="13">
        <f>BL_pooling!AM99</f>
        <v>3.7974683544303799E-2</v>
      </c>
      <c r="T49" s="13">
        <f>BL_pooling!AN99</f>
        <v>3.7974683544303799E-2</v>
      </c>
      <c r="U49" s="13">
        <f>BL_pooling!AO99</f>
        <v>4.779411764705882E-2</v>
      </c>
      <c r="V49" s="13">
        <f>BL_pooling!AP99</f>
        <v>0</v>
      </c>
      <c r="W49" s="13">
        <f>BL_pooling!AQ99</f>
        <v>0.18972332015810273</v>
      </c>
      <c r="X49" s="13">
        <f>BL_pooling!AR99</f>
        <v>8.6956521739130432E-2</v>
      </c>
      <c r="Y49" s="13">
        <f>BL_pooling!AS99</f>
        <v>0</v>
      </c>
      <c r="Z49" s="13">
        <f>BL_pooling!AT99</f>
        <v>1.3559322033898305E-2</v>
      </c>
      <c r="AA49" s="13">
        <f>BL_pooling!AU99</f>
        <v>5.6097560975609764E-2</v>
      </c>
      <c r="AB49" s="13">
        <f>BL_pooling!AV99</f>
        <v>5.6097560975609764E-2</v>
      </c>
      <c r="AC49" s="13">
        <f>BL_pooling!AW99</f>
        <v>5.6097560975609764E-2</v>
      </c>
      <c r="AI49" s="415" t="s">
        <v>313</v>
      </c>
      <c r="AJ49" s="454">
        <f>ABS(AJ12-$AP$14)</f>
        <v>6.1240625811364802E-2</v>
      </c>
      <c r="BC49" s="255" t="s">
        <v>181</v>
      </c>
      <c r="BD49" s="259">
        <v>263</v>
      </c>
      <c r="BE49" s="12">
        <f>BD49/$BD$47</f>
        <v>0.926056338028169</v>
      </c>
      <c r="BF49" s="13">
        <f>1-BE49</f>
        <v>7.3943661971830998E-2</v>
      </c>
      <c r="BL49" s="195">
        <v>1</v>
      </c>
      <c r="BM49" s="12">
        <f>1/27</f>
        <v>3.7037037037037035E-2</v>
      </c>
      <c r="BN49" s="12">
        <v>0</v>
      </c>
      <c r="BO49" s="12">
        <v>0</v>
      </c>
      <c r="BP49" s="12">
        <v>0</v>
      </c>
    </row>
    <row r="50" spans="1:68" ht="15.6" x14ac:dyDescent="0.3">
      <c r="A50" s="195" t="s">
        <v>335</v>
      </c>
      <c r="B50" s="452">
        <v>1</v>
      </c>
      <c r="C50" s="148">
        <f>R58</f>
        <v>0</v>
      </c>
      <c r="D50" s="149">
        <f t="shared" ref="D50:N50" si="10">S58</f>
        <v>0</v>
      </c>
      <c r="E50" s="149">
        <f t="shared" si="10"/>
        <v>0</v>
      </c>
      <c r="F50" s="149">
        <f t="shared" si="10"/>
        <v>0</v>
      </c>
      <c r="G50" s="149">
        <f t="shared" si="10"/>
        <v>0</v>
      </c>
      <c r="H50" s="149">
        <f t="shared" si="10"/>
        <v>0</v>
      </c>
      <c r="I50" s="149">
        <f t="shared" si="10"/>
        <v>0</v>
      </c>
      <c r="J50" s="149">
        <f t="shared" si="10"/>
        <v>0</v>
      </c>
      <c r="K50" s="149">
        <f t="shared" si="10"/>
        <v>0</v>
      </c>
      <c r="L50" s="149">
        <f t="shared" si="10"/>
        <v>0</v>
      </c>
      <c r="M50" s="149">
        <f t="shared" si="10"/>
        <v>0</v>
      </c>
      <c r="N50" s="149">
        <f t="shared" si="10"/>
        <v>0</v>
      </c>
      <c r="Q50" s="195">
        <v>2</v>
      </c>
      <c r="R50" s="13">
        <f>BL_pooling!AL100</f>
        <v>0.16455696202531644</v>
      </c>
      <c r="S50" s="13">
        <f>BL_pooling!AM100</f>
        <v>0.16455696202531644</v>
      </c>
      <c r="T50" s="13">
        <f>BL_pooling!AN100</f>
        <v>0.16455696202531644</v>
      </c>
      <c r="U50" s="13">
        <f>BL_pooling!AO100</f>
        <v>8.8235294117647065E-2</v>
      </c>
      <c r="V50" s="13">
        <f>BL_pooling!AP100</f>
        <v>6.9930069930069935E-2</v>
      </c>
      <c r="W50" s="13">
        <f>BL_pooling!AQ100</f>
        <v>0.22529644268774704</v>
      </c>
      <c r="X50" s="13">
        <f>BL_pooling!AR100</f>
        <v>0.1358695652173913</v>
      </c>
      <c r="Y50" s="13">
        <f>BL_pooling!AS100</f>
        <v>2.1352313167259787E-2</v>
      </c>
      <c r="Z50" s="13">
        <f>BL_pooling!AT100</f>
        <v>4.4067796610169491E-2</v>
      </c>
      <c r="AA50" s="13">
        <f>BL_pooling!AU100</f>
        <v>9.2682926829268292E-2</v>
      </c>
      <c r="AB50" s="13">
        <f>BL_pooling!AV100</f>
        <v>9.2682926829268292E-2</v>
      </c>
      <c r="AC50" s="13">
        <f>BL_pooling!AW100</f>
        <v>9.2682926829268292E-2</v>
      </c>
      <c r="AI50" s="415" t="s">
        <v>314</v>
      </c>
      <c r="AJ50" s="454">
        <f t="shared" ref="AJ50:AJ51" si="11">ABS(AJ13-$AP$14)</f>
        <v>0.40936660933075408</v>
      </c>
      <c r="BC50" s="257"/>
      <c r="BD50" s="259"/>
      <c r="BE50" s="12"/>
      <c r="BF50" s="13"/>
      <c r="BL50" s="195">
        <v>2</v>
      </c>
      <c r="BM50" s="12">
        <v>0</v>
      </c>
      <c r="BN50" s="12">
        <v>0</v>
      </c>
      <c r="BO50" s="12">
        <v>0</v>
      </c>
      <c r="BP50" s="12">
        <v>0</v>
      </c>
    </row>
    <row r="51" spans="1:68" ht="15.6" x14ac:dyDescent="0.3">
      <c r="A51" s="195" t="s">
        <v>336</v>
      </c>
      <c r="B51" s="453">
        <v>2</v>
      </c>
      <c r="C51" s="273">
        <v>0.30011694223919316</v>
      </c>
      <c r="D51" s="273">
        <v>0.30011694223919316</v>
      </c>
      <c r="E51" s="273">
        <v>0.30011694223919316</v>
      </c>
      <c r="F51" s="273">
        <v>0.30011694223919316</v>
      </c>
      <c r="G51" s="273">
        <v>0.30011694223919316</v>
      </c>
      <c r="H51" s="273">
        <v>0.30011694223919316</v>
      </c>
      <c r="I51" s="273">
        <v>0.30011694223919316</v>
      </c>
      <c r="J51" s="273">
        <v>0.30011694223919316</v>
      </c>
      <c r="K51" s="273">
        <v>0.30011694223919316</v>
      </c>
      <c r="L51" s="273">
        <v>0.30011694223919316</v>
      </c>
      <c r="M51" s="273">
        <v>0.30011694223919316</v>
      </c>
      <c r="N51" s="273">
        <v>0.30011694223919316</v>
      </c>
      <c r="Q51" s="195">
        <v>1</v>
      </c>
      <c r="R51" s="13">
        <f>BL_pooling!AL101</f>
        <v>0.40506329113924056</v>
      </c>
      <c r="S51" s="13">
        <f>BL_pooling!AM101</f>
        <v>0.40506329113924056</v>
      </c>
      <c r="T51" s="13">
        <f>BL_pooling!AN101</f>
        <v>0.40506329113924056</v>
      </c>
      <c r="U51" s="13">
        <f>BL_pooling!AO101</f>
        <v>0.23897058823529413</v>
      </c>
      <c r="V51" s="13">
        <f>BL_pooling!AP101</f>
        <v>0.21678321678321677</v>
      </c>
      <c r="W51" s="13">
        <f>BL_pooling!AQ101</f>
        <v>0.30434782608695654</v>
      </c>
      <c r="X51" s="13">
        <f>BL_pooling!AR101</f>
        <v>0.30434782608695654</v>
      </c>
      <c r="Y51" s="13">
        <f>BL_pooling!AS101</f>
        <v>0.199288256227758</v>
      </c>
      <c r="Z51" s="13">
        <f>BL_pooling!AT101</f>
        <v>0.21016949152542369</v>
      </c>
      <c r="AA51" s="13">
        <f>BL_pooling!AU101</f>
        <v>0.21219512195121951</v>
      </c>
      <c r="AB51" s="13">
        <f>BL_pooling!AV101</f>
        <v>0.21219512195121951</v>
      </c>
      <c r="AC51" s="13">
        <f>BL_pooling!AW101</f>
        <v>0.21219512195121951</v>
      </c>
      <c r="AI51" s="415" t="s">
        <v>315</v>
      </c>
      <c r="AJ51" s="454">
        <f t="shared" si="11"/>
        <v>0.15355265584238198</v>
      </c>
      <c r="BL51" s="195">
        <v>3</v>
      </c>
      <c r="BM51" s="12">
        <v>0</v>
      </c>
      <c r="BN51" s="12">
        <v>0</v>
      </c>
      <c r="BO51" s="12">
        <v>0</v>
      </c>
      <c r="BP51" s="12">
        <v>0</v>
      </c>
    </row>
    <row r="52" spans="1:68" ht="15.6" x14ac:dyDescent="0.3">
      <c r="A52" s="195" t="s">
        <v>337</v>
      </c>
      <c r="B52" s="453">
        <v>3</v>
      </c>
      <c r="C52" s="273">
        <v>0.16211957673832289</v>
      </c>
      <c r="D52" s="273">
        <v>0.16211957673832289</v>
      </c>
      <c r="E52" s="273">
        <v>0.16211957673832289</v>
      </c>
      <c r="F52" s="273">
        <v>0.16211957673832289</v>
      </c>
      <c r="G52" s="273">
        <v>0.16211957673832289</v>
      </c>
      <c r="H52" s="273">
        <v>0.16211957673832289</v>
      </c>
      <c r="I52" s="273">
        <v>0.16211957673832289</v>
      </c>
      <c r="J52" s="273">
        <v>0.16211957673832289</v>
      </c>
      <c r="K52" s="273">
        <v>0.16211957673832289</v>
      </c>
      <c r="L52" s="273">
        <v>0.16211957673832289</v>
      </c>
      <c r="M52" s="273">
        <v>0.16211957673832289</v>
      </c>
      <c r="N52" s="273">
        <v>0.16211957673832289</v>
      </c>
    </row>
    <row r="53" spans="1:68" ht="15.6" x14ac:dyDescent="0.3">
      <c r="B53" s="452"/>
      <c r="C53" s="273">
        <v>0</v>
      </c>
      <c r="D53" s="274">
        <v>0</v>
      </c>
      <c r="E53" s="274">
        <v>0</v>
      </c>
      <c r="F53" s="274">
        <v>0</v>
      </c>
      <c r="G53" s="274">
        <v>0</v>
      </c>
      <c r="H53" s="274">
        <v>0</v>
      </c>
      <c r="I53" s="274">
        <v>0</v>
      </c>
      <c r="J53" s="274">
        <v>0</v>
      </c>
      <c r="K53" s="274">
        <v>0</v>
      </c>
      <c r="L53" s="274">
        <v>0</v>
      </c>
      <c r="M53" s="274">
        <v>0</v>
      </c>
      <c r="N53" s="274">
        <v>0</v>
      </c>
      <c r="AI53" s="613" t="s">
        <v>310</v>
      </c>
      <c r="AJ53" s="613"/>
    </row>
    <row r="54" spans="1:68" ht="16.2" thickBot="1" x14ac:dyDescent="0.35">
      <c r="B54" s="453"/>
      <c r="C54" s="273">
        <v>0</v>
      </c>
      <c r="D54" s="274">
        <v>0</v>
      </c>
      <c r="E54" s="274">
        <v>0</v>
      </c>
      <c r="F54" s="274">
        <v>0</v>
      </c>
      <c r="G54" s="274">
        <v>0</v>
      </c>
      <c r="H54" s="274">
        <v>0</v>
      </c>
      <c r="I54" s="274">
        <v>0</v>
      </c>
      <c r="J54" s="274">
        <v>0</v>
      </c>
      <c r="K54" s="274">
        <v>0</v>
      </c>
      <c r="L54" s="274">
        <v>0</v>
      </c>
      <c r="M54" s="274">
        <v>0</v>
      </c>
      <c r="N54" s="274">
        <v>0</v>
      </c>
      <c r="AI54" s="415" t="s">
        <v>313</v>
      </c>
      <c r="AJ54" s="454">
        <f>ABS(AJ17-$AP$19)</f>
        <v>0.28620974413850542</v>
      </c>
      <c r="BC54" s="195" t="s">
        <v>288</v>
      </c>
    </row>
    <row r="55" spans="1:68" ht="16.2" thickBot="1" x14ac:dyDescent="0.35">
      <c r="B55" s="453"/>
      <c r="C55" s="273">
        <v>0</v>
      </c>
      <c r="D55" s="274">
        <v>0</v>
      </c>
      <c r="E55" s="274">
        <v>0</v>
      </c>
      <c r="F55" s="274">
        <v>0</v>
      </c>
      <c r="G55" s="274">
        <v>0</v>
      </c>
      <c r="H55" s="274">
        <v>0</v>
      </c>
      <c r="I55" s="274">
        <v>0</v>
      </c>
      <c r="J55" s="274">
        <v>0</v>
      </c>
      <c r="K55" s="274">
        <v>0</v>
      </c>
      <c r="L55" s="274">
        <v>0</v>
      </c>
      <c r="M55" s="274">
        <v>0</v>
      </c>
      <c r="N55" s="274">
        <v>0</v>
      </c>
      <c r="R55" s="218" t="s">
        <v>17</v>
      </c>
      <c r="S55" s="207"/>
      <c r="T55" s="207"/>
      <c r="U55" s="207"/>
      <c r="V55" s="207"/>
      <c r="W55" s="207"/>
      <c r="X55" s="207"/>
      <c r="Y55" s="207"/>
      <c r="Z55" s="207"/>
      <c r="AA55" s="207"/>
      <c r="AB55" s="207"/>
      <c r="AC55" s="207"/>
      <c r="AD55" s="207"/>
      <c r="AI55" s="415" t="s">
        <v>314</v>
      </c>
      <c r="AJ55" s="454">
        <f t="shared" ref="AJ55" si="12">ABS(AJ18-$AP$19)</f>
        <v>1.3907198100687745E-2</v>
      </c>
      <c r="BC55" s="252" t="s">
        <v>152</v>
      </c>
      <c r="BD55" s="254" t="s">
        <v>154</v>
      </c>
    </row>
    <row r="56" spans="1:68" ht="16.2" thickBot="1" x14ac:dyDescent="0.35">
      <c r="B56" s="452"/>
      <c r="C56" s="273">
        <v>0</v>
      </c>
      <c r="D56" s="274">
        <v>0</v>
      </c>
      <c r="E56" s="274">
        <v>0</v>
      </c>
      <c r="F56" s="274">
        <v>0</v>
      </c>
      <c r="G56" s="274">
        <v>0</v>
      </c>
      <c r="H56" s="274">
        <v>0</v>
      </c>
      <c r="I56" s="274">
        <v>0</v>
      </c>
      <c r="J56" s="274">
        <v>0</v>
      </c>
      <c r="K56" s="274">
        <v>0</v>
      </c>
      <c r="L56" s="274">
        <v>0</v>
      </c>
      <c r="M56" s="274">
        <v>0</v>
      </c>
      <c r="N56" s="274">
        <v>0</v>
      </c>
      <c r="AI56" s="415" t="s">
        <v>315</v>
      </c>
      <c r="AJ56" s="454">
        <v>0</v>
      </c>
      <c r="BC56" s="255" t="s">
        <v>286</v>
      </c>
      <c r="BD56" s="256">
        <v>11.8207621</v>
      </c>
      <c r="BE56" s="195" t="b">
        <f>A7=1-BD56/SUM(BD56:BD57)</f>
        <v>0</v>
      </c>
    </row>
    <row r="57" spans="1:68" ht="15.6" x14ac:dyDescent="0.3">
      <c r="B57" s="453"/>
      <c r="C57" s="273">
        <v>0</v>
      </c>
      <c r="D57" s="274">
        <v>0</v>
      </c>
      <c r="E57" s="274">
        <v>0</v>
      </c>
      <c r="F57" s="274">
        <v>0</v>
      </c>
      <c r="G57" s="274">
        <v>0</v>
      </c>
      <c r="H57" s="274">
        <v>0</v>
      </c>
      <c r="I57" s="274">
        <v>0</v>
      </c>
      <c r="J57" s="274">
        <v>0</v>
      </c>
      <c r="K57" s="274">
        <v>0</v>
      </c>
      <c r="L57" s="274">
        <v>0</v>
      </c>
      <c r="M57" s="274">
        <v>0</v>
      </c>
      <c r="N57" s="274">
        <v>0</v>
      </c>
      <c r="Q57" s="195" t="s">
        <v>50</v>
      </c>
      <c r="R57" s="195">
        <v>1</v>
      </c>
      <c r="S57" s="195">
        <v>2</v>
      </c>
      <c r="T57" s="195">
        <v>3</v>
      </c>
      <c r="U57" s="195">
        <v>4</v>
      </c>
      <c r="V57" s="195">
        <v>5</v>
      </c>
      <c r="W57" s="195">
        <v>6</v>
      </c>
      <c r="X57" s="195">
        <v>7</v>
      </c>
      <c r="Y57" s="195">
        <v>8</v>
      </c>
      <c r="Z57" s="195">
        <v>9</v>
      </c>
      <c r="AA57" s="195">
        <v>10</v>
      </c>
      <c r="AB57" s="195">
        <v>11</v>
      </c>
      <c r="AC57" s="195">
        <v>12</v>
      </c>
      <c r="AJ57" s="12"/>
      <c r="BC57" s="257" t="s">
        <v>287</v>
      </c>
      <c r="BD57" s="259">
        <v>12.3211078</v>
      </c>
      <c r="BE57" s="195">
        <f>1-BD57/SUM(BD57:BD58)</f>
        <v>0</v>
      </c>
    </row>
    <row r="58" spans="1:68" ht="15.6" x14ac:dyDescent="0.3">
      <c r="B58" s="453"/>
      <c r="C58" s="273">
        <v>0</v>
      </c>
      <c r="D58" s="274">
        <v>0</v>
      </c>
      <c r="E58" s="274">
        <v>0</v>
      </c>
      <c r="F58" s="274">
        <v>0</v>
      </c>
      <c r="G58" s="274">
        <v>0</v>
      </c>
      <c r="H58" s="274">
        <v>0</v>
      </c>
      <c r="I58" s="274">
        <v>0</v>
      </c>
      <c r="J58" s="274">
        <v>0</v>
      </c>
      <c r="K58" s="274">
        <v>0</v>
      </c>
      <c r="L58" s="274">
        <v>0</v>
      </c>
      <c r="M58" s="274">
        <v>0</v>
      </c>
      <c r="N58" s="274">
        <v>0</v>
      </c>
      <c r="Q58" s="195">
        <v>20</v>
      </c>
      <c r="R58" s="13">
        <f>BL_pooling!AL133</f>
        <v>0</v>
      </c>
      <c r="S58" s="13">
        <f>BL_pooling!AM133</f>
        <v>0</v>
      </c>
      <c r="T58" s="13">
        <f>BL_pooling!AN133</f>
        <v>0</v>
      </c>
      <c r="U58" s="13">
        <f>BL_pooling!AO133</f>
        <v>0</v>
      </c>
      <c r="V58" s="13">
        <f>BL_pooling!AP133</f>
        <v>0</v>
      </c>
      <c r="W58" s="13">
        <f>BL_pooling!AQ133</f>
        <v>0</v>
      </c>
      <c r="X58" s="13">
        <f>BL_pooling!AR133</f>
        <v>0</v>
      </c>
      <c r="Y58" s="13">
        <f>BL_pooling!AS133</f>
        <v>0</v>
      </c>
      <c r="Z58" s="13">
        <f>BL_pooling!AT133</f>
        <v>0</v>
      </c>
      <c r="AA58" s="13">
        <f>BL_pooling!AU133</f>
        <v>0</v>
      </c>
      <c r="AB58" s="13">
        <f>BL_pooling!AV133</f>
        <v>0</v>
      </c>
      <c r="AC58" s="13">
        <f>BL_pooling!AW133</f>
        <v>0</v>
      </c>
      <c r="AI58" s="613" t="s">
        <v>57</v>
      </c>
      <c r="AJ58" s="613"/>
    </row>
    <row r="59" spans="1:68" ht="15.6" x14ac:dyDescent="0.3">
      <c r="B59" s="135"/>
      <c r="C59" s="273">
        <v>0</v>
      </c>
      <c r="D59" s="274">
        <v>0</v>
      </c>
      <c r="E59" s="274">
        <v>0</v>
      </c>
      <c r="F59" s="274">
        <v>0</v>
      </c>
      <c r="G59" s="274">
        <v>0</v>
      </c>
      <c r="H59" s="274">
        <v>0</v>
      </c>
      <c r="I59" s="274">
        <v>0</v>
      </c>
      <c r="J59" s="274">
        <v>0</v>
      </c>
      <c r="K59" s="274">
        <v>0</v>
      </c>
      <c r="L59" s="274">
        <v>0</v>
      </c>
      <c r="M59" s="274">
        <v>0</v>
      </c>
      <c r="N59" s="274">
        <v>0</v>
      </c>
      <c r="Q59" s="195">
        <v>19</v>
      </c>
      <c r="R59" s="13">
        <f>BL_pooling!AL134</f>
        <v>0</v>
      </c>
      <c r="S59" s="13">
        <f>BL_pooling!AM134</f>
        <v>0</v>
      </c>
      <c r="T59" s="13">
        <f>BL_pooling!AN134</f>
        <v>0</v>
      </c>
      <c r="U59" s="13">
        <f>BL_pooling!AO134</f>
        <v>0</v>
      </c>
      <c r="V59" s="13">
        <f>BL_pooling!AP134</f>
        <v>0</v>
      </c>
      <c r="W59" s="13">
        <f>BL_pooling!AQ134</f>
        <v>2.097902097902098E-2</v>
      </c>
      <c r="X59" s="13">
        <f>BL_pooling!AR134</f>
        <v>0</v>
      </c>
      <c r="Y59" s="13">
        <f>BL_pooling!AS134</f>
        <v>0</v>
      </c>
      <c r="Z59" s="13">
        <f>BL_pooling!AT134</f>
        <v>0</v>
      </c>
      <c r="AA59" s="13">
        <f>BL_pooling!AU134</f>
        <v>0</v>
      </c>
      <c r="AB59" s="13">
        <f>BL_pooling!AV134</f>
        <v>0</v>
      </c>
      <c r="AC59" s="13">
        <f>BL_pooling!AW134</f>
        <v>0</v>
      </c>
      <c r="AI59" s="415" t="s">
        <v>313</v>
      </c>
      <c r="AJ59" s="454">
        <f>ABS(AJ22-$AP$24)</f>
        <v>0.28620974413850542</v>
      </c>
    </row>
    <row r="60" spans="1:68" ht="15.6" x14ac:dyDescent="0.3">
      <c r="B60" s="135"/>
      <c r="C60" s="273">
        <v>0</v>
      </c>
      <c r="D60" s="274">
        <v>0</v>
      </c>
      <c r="E60" s="274">
        <v>0</v>
      </c>
      <c r="F60" s="274">
        <v>0</v>
      </c>
      <c r="G60" s="274">
        <v>0</v>
      </c>
      <c r="H60" s="274">
        <v>0</v>
      </c>
      <c r="I60" s="274">
        <v>0</v>
      </c>
      <c r="J60" s="274">
        <v>0</v>
      </c>
      <c r="K60" s="274">
        <v>0</v>
      </c>
      <c r="L60" s="274">
        <v>0</v>
      </c>
      <c r="M60" s="274">
        <v>0</v>
      </c>
      <c r="N60" s="274">
        <v>0</v>
      </c>
      <c r="Q60" s="195">
        <v>18</v>
      </c>
      <c r="R60" s="13">
        <f>BL_pooling!AL135</f>
        <v>0</v>
      </c>
      <c r="S60" s="13">
        <f>BL_pooling!AM135</f>
        <v>0</v>
      </c>
      <c r="T60" s="13">
        <f>BL_pooling!AN135</f>
        <v>0</v>
      </c>
      <c r="U60" s="13">
        <f>BL_pooling!AO135</f>
        <v>0</v>
      </c>
      <c r="V60" s="13">
        <f>BL_pooling!AP135</f>
        <v>0</v>
      </c>
      <c r="W60" s="13">
        <f>BL_pooling!AQ135</f>
        <v>4.195804195804196E-2</v>
      </c>
      <c r="X60" s="13">
        <f>BL_pooling!AR135</f>
        <v>0</v>
      </c>
      <c r="Y60" s="13">
        <f>BL_pooling!AS135</f>
        <v>0</v>
      </c>
      <c r="Z60" s="13">
        <f>BL_pooling!AT135</f>
        <v>0</v>
      </c>
      <c r="AA60" s="13">
        <f>BL_pooling!AU135</f>
        <v>0</v>
      </c>
      <c r="AB60" s="13">
        <f>BL_pooling!AV135</f>
        <v>0</v>
      </c>
      <c r="AC60" s="13">
        <f>BL_pooling!AW135</f>
        <v>0</v>
      </c>
      <c r="AI60" s="415" t="s">
        <v>314</v>
      </c>
      <c r="AJ60" s="454">
        <f t="shared" ref="AJ60" si="13">ABS(AJ23-$AP$24)</f>
        <v>1.3907198100687745E-2</v>
      </c>
    </row>
    <row r="61" spans="1:68" ht="15.6" x14ac:dyDescent="0.3">
      <c r="B61" s="135"/>
      <c r="C61" s="273">
        <v>0</v>
      </c>
      <c r="D61" s="274">
        <v>0</v>
      </c>
      <c r="E61" s="274">
        <v>0</v>
      </c>
      <c r="F61" s="274">
        <v>0</v>
      </c>
      <c r="G61" s="274">
        <v>0</v>
      </c>
      <c r="H61" s="274">
        <v>0</v>
      </c>
      <c r="I61" s="274">
        <v>0</v>
      </c>
      <c r="J61" s="274">
        <v>0</v>
      </c>
      <c r="K61" s="274">
        <v>0</v>
      </c>
      <c r="L61" s="274">
        <v>0</v>
      </c>
      <c r="M61" s="274">
        <v>0</v>
      </c>
      <c r="N61" s="274">
        <v>0</v>
      </c>
      <c r="Q61" s="195">
        <v>17</v>
      </c>
      <c r="R61" s="13">
        <f>BL_pooling!AL136</f>
        <v>0</v>
      </c>
      <c r="S61" s="13">
        <f>BL_pooling!AM136</f>
        <v>0</v>
      </c>
      <c r="T61" s="13">
        <f>BL_pooling!AN136</f>
        <v>0</v>
      </c>
      <c r="U61" s="13">
        <f>BL_pooling!AO136</f>
        <v>0</v>
      </c>
      <c r="V61" s="13">
        <f>BL_pooling!AP136</f>
        <v>0</v>
      </c>
      <c r="W61" s="13">
        <f>BL_pooling!AQ136</f>
        <v>6.2937062937062943E-2</v>
      </c>
      <c r="X61" s="13">
        <f>BL_pooling!AR136</f>
        <v>0</v>
      </c>
      <c r="Y61" s="13">
        <f>BL_pooling!AS136</f>
        <v>0</v>
      </c>
      <c r="Z61" s="13">
        <f>BL_pooling!AT136</f>
        <v>0</v>
      </c>
      <c r="AA61" s="13">
        <f>BL_pooling!AU136</f>
        <v>0</v>
      </c>
      <c r="AB61" s="13">
        <f>BL_pooling!AV136</f>
        <v>0</v>
      </c>
      <c r="AC61" s="13">
        <f>BL_pooling!AW136</f>
        <v>0</v>
      </c>
      <c r="AI61" s="415" t="s">
        <v>315</v>
      </c>
      <c r="AJ61" s="454">
        <v>0</v>
      </c>
    </row>
    <row r="62" spans="1:68" ht="15.6" x14ac:dyDescent="0.3">
      <c r="B62" s="135"/>
      <c r="C62" s="273">
        <v>0</v>
      </c>
      <c r="D62" s="274">
        <v>0</v>
      </c>
      <c r="E62" s="274">
        <v>0</v>
      </c>
      <c r="F62" s="274">
        <v>0</v>
      </c>
      <c r="G62" s="274">
        <v>0</v>
      </c>
      <c r="H62" s="274">
        <v>0</v>
      </c>
      <c r="I62" s="274">
        <v>0</v>
      </c>
      <c r="J62" s="274">
        <v>0</v>
      </c>
      <c r="K62" s="274">
        <v>0</v>
      </c>
      <c r="L62" s="274">
        <v>0</v>
      </c>
      <c r="M62" s="274">
        <v>0</v>
      </c>
      <c r="N62" s="274">
        <v>0</v>
      </c>
      <c r="Q62" s="195">
        <v>16</v>
      </c>
      <c r="R62" s="13">
        <f>BL_pooling!AL137</f>
        <v>0</v>
      </c>
      <c r="S62" s="13">
        <f>BL_pooling!AM137</f>
        <v>0</v>
      </c>
      <c r="T62" s="13">
        <f>BL_pooling!AN137</f>
        <v>0</v>
      </c>
      <c r="U62" s="13">
        <f>BL_pooling!AO137</f>
        <v>0</v>
      </c>
      <c r="V62" s="13">
        <f>BL_pooling!AP137</f>
        <v>0</v>
      </c>
      <c r="W62" s="13">
        <f>BL_pooling!AQ137</f>
        <v>8.3916083916083919E-2</v>
      </c>
      <c r="X62" s="13">
        <f>BL_pooling!AR137</f>
        <v>0</v>
      </c>
      <c r="Y62" s="13">
        <f>BL_pooling!AS137</f>
        <v>0</v>
      </c>
      <c r="Z62" s="13">
        <f>BL_pooling!AT137</f>
        <v>0</v>
      </c>
      <c r="AA62" s="13">
        <f>BL_pooling!AU137</f>
        <v>0</v>
      </c>
      <c r="AB62" s="13">
        <f>BL_pooling!AV137</f>
        <v>0</v>
      </c>
      <c r="AC62" s="13">
        <f>BL_pooling!AW137</f>
        <v>0</v>
      </c>
    </row>
    <row r="63" spans="1:68" ht="15.6" x14ac:dyDescent="0.3">
      <c r="B63" s="135"/>
      <c r="C63" s="273">
        <v>0</v>
      </c>
      <c r="D63" s="274">
        <v>0</v>
      </c>
      <c r="E63" s="274">
        <v>0</v>
      </c>
      <c r="F63" s="274">
        <v>0</v>
      </c>
      <c r="G63" s="274">
        <v>0</v>
      </c>
      <c r="H63" s="274">
        <v>0</v>
      </c>
      <c r="I63" s="274">
        <v>0</v>
      </c>
      <c r="J63" s="274">
        <v>0</v>
      </c>
      <c r="K63" s="274">
        <v>0</v>
      </c>
      <c r="L63" s="274">
        <v>0</v>
      </c>
      <c r="M63" s="274">
        <v>0</v>
      </c>
      <c r="N63" s="274">
        <v>0</v>
      </c>
      <c r="Q63" s="195">
        <v>15</v>
      </c>
      <c r="R63" s="13">
        <f>BL_pooling!AL138</f>
        <v>0</v>
      </c>
      <c r="S63" s="13">
        <f>BL_pooling!AM138</f>
        <v>0</v>
      </c>
      <c r="T63" s="13">
        <f>BL_pooling!AN138</f>
        <v>0</v>
      </c>
      <c r="U63" s="13">
        <f>BL_pooling!AO138</f>
        <v>0</v>
      </c>
      <c r="V63" s="13">
        <f>BL_pooling!AP138</f>
        <v>0</v>
      </c>
      <c r="W63" s="13">
        <f>BL_pooling!AQ138</f>
        <v>0.1048951048951049</v>
      </c>
      <c r="X63" s="13">
        <f>BL_pooling!AR138</f>
        <v>0</v>
      </c>
      <c r="Y63" s="13">
        <f>BL_pooling!AS138</f>
        <v>0</v>
      </c>
      <c r="Z63" s="13">
        <f>BL_pooling!AT138</f>
        <v>0</v>
      </c>
      <c r="AA63" s="13">
        <f>BL_pooling!AU138</f>
        <v>0</v>
      </c>
      <c r="AB63" s="13">
        <f>BL_pooling!AV138</f>
        <v>0</v>
      </c>
      <c r="AC63" s="13">
        <f>BL_pooling!AW138</f>
        <v>0</v>
      </c>
    </row>
    <row r="64" spans="1:68" ht="15.6" x14ac:dyDescent="0.3">
      <c r="B64" s="135"/>
      <c r="C64" s="273">
        <v>0</v>
      </c>
      <c r="D64" s="274">
        <v>0</v>
      </c>
      <c r="E64" s="274">
        <v>0</v>
      </c>
      <c r="F64" s="274">
        <v>0</v>
      </c>
      <c r="G64" s="274">
        <v>0</v>
      </c>
      <c r="H64" s="274">
        <v>0</v>
      </c>
      <c r="I64" s="274">
        <v>0</v>
      </c>
      <c r="J64" s="274">
        <v>0</v>
      </c>
      <c r="K64" s="274">
        <v>0</v>
      </c>
      <c r="L64" s="274">
        <v>0</v>
      </c>
      <c r="M64" s="274">
        <v>0</v>
      </c>
      <c r="N64" s="274">
        <v>0</v>
      </c>
      <c r="Q64" s="195">
        <v>14</v>
      </c>
      <c r="R64" s="13">
        <f>BL_pooling!AL139</f>
        <v>0</v>
      </c>
      <c r="S64" s="13">
        <f>BL_pooling!AM139</f>
        <v>0</v>
      </c>
      <c r="T64" s="13">
        <f>BL_pooling!AN139</f>
        <v>0</v>
      </c>
      <c r="U64" s="13">
        <f>BL_pooling!AO139</f>
        <v>0</v>
      </c>
      <c r="V64" s="13">
        <f>BL_pooling!AP139</f>
        <v>0</v>
      </c>
      <c r="W64" s="13">
        <f>BL_pooling!AQ139</f>
        <v>0.12587412587412589</v>
      </c>
      <c r="X64" s="13">
        <f>BL_pooling!AR139</f>
        <v>0</v>
      </c>
      <c r="Y64" s="13">
        <f>BL_pooling!AS139</f>
        <v>0</v>
      </c>
      <c r="Z64" s="13">
        <f>BL_pooling!AT139</f>
        <v>0</v>
      </c>
      <c r="AA64" s="13">
        <f>BL_pooling!AU139</f>
        <v>0</v>
      </c>
      <c r="AB64" s="13">
        <f>BL_pooling!AV139</f>
        <v>0</v>
      </c>
      <c r="AC64" s="13">
        <f>BL_pooling!AW139</f>
        <v>0</v>
      </c>
    </row>
    <row r="65" spans="2:29" ht="15.6" x14ac:dyDescent="0.3">
      <c r="B65" s="135"/>
      <c r="C65" s="273">
        <v>0</v>
      </c>
      <c r="D65" s="274">
        <v>0</v>
      </c>
      <c r="E65" s="274">
        <v>0</v>
      </c>
      <c r="F65" s="274">
        <v>0</v>
      </c>
      <c r="G65" s="274">
        <v>0</v>
      </c>
      <c r="H65" s="274">
        <v>0</v>
      </c>
      <c r="I65" s="274">
        <v>0</v>
      </c>
      <c r="J65" s="274">
        <v>0</v>
      </c>
      <c r="K65" s="274">
        <v>0</v>
      </c>
      <c r="L65" s="274">
        <v>0</v>
      </c>
      <c r="M65" s="274">
        <v>0</v>
      </c>
      <c r="N65" s="274">
        <v>0</v>
      </c>
      <c r="Q65" s="195">
        <v>13</v>
      </c>
      <c r="R65" s="13">
        <f>BL_pooling!AL140</f>
        <v>0</v>
      </c>
      <c r="S65" s="13">
        <f>BL_pooling!AM140</f>
        <v>0</v>
      </c>
      <c r="T65" s="13">
        <f>BL_pooling!AN140</f>
        <v>0</v>
      </c>
      <c r="U65" s="13">
        <f>BL_pooling!AO140</f>
        <v>0</v>
      </c>
      <c r="V65" s="13">
        <f>BL_pooling!AP140</f>
        <v>0</v>
      </c>
      <c r="W65" s="13">
        <f>BL_pooling!AQ140</f>
        <v>0.14685314685314685</v>
      </c>
      <c r="X65" s="13">
        <f>BL_pooling!AR140</f>
        <v>0</v>
      </c>
      <c r="Y65" s="13">
        <f>BL_pooling!AS140</f>
        <v>0</v>
      </c>
      <c r="Z65" s="13">
        <f>BL_pooling!AT140</f>
        <v>0</v>
      </c>
      <c r="AA65" s="13">
        <f>BL_pooling!AU140</f>
        <v>0</v>
      </c>
      <c r="AB65" s="13">
        <f>BL_pooling!AV140</f>
        <v>0</v>
      </c>
      <c r="AC65" s="13">
        <f>BL_pooling!AW140</f>
        <v>0</v>
      </c>
    </row>
    <row r="66" spans="2:29" ht="15.6" x14ac:dyDescent="0.3">
      <c r="B66" s="135"/>
      <c r="C66" s="273">
        <v>0</v>
      </c>
      <c r="D66" s="274">
        <v>0</v>
      </c>
      <c r="E66" s="274">
        <v>0</v>
      </c>
      <c r="F66" s="274">
        <v>0</v>
      </c>
      <c r="G66" s="274">
        <v>0</v>
      </c>
      <c r="H66" s="274">
        <v>0</v>
      </c>
      <c r="I66" s="274">
        <v>0</v>
      </c>
      <c r="J66" s="274">
        <v>0</v>
      </c>
      <c r="K66" s="274">
        <v>0</v>
      </c>
      <c r="L66" s="274">
        <v>0</v>
      </c>
      <c r="M66" s="274">
        <v>0</v>
      </c>
      <c r="N66" s="274">
        <v>0</v>
      </c>
      <c r="Q66" s="195">
        <v>12</v>
      </c>
      <c r="R66" s="13">
        <f>BL_pooling!AL141</f>
        <v>0</v>
      </c>
      <c r="S66" s="13">
        <f>BL_pooling!AM141</f>
        <v>0</v>
      </c>
      <c r="T66" s="13">
        <f>BL_pooling!AN141</f>
        <v>0</v>
      </c>
      <c r="U66" s="13">
        <f>BL_pooling!AO141</f>
        <v>0</v>
      </c>
      <c r="V66" s="13">
        <f>BL_pooling!AP141</f>
        <v>0</v>
      </c>
      <c r="W66" s="13">
        <f>BL_pooling!AQ141</f>
        <v>0.16783216783216784</v>
      </c>
      <c r="X66" s="13">
        <f>BL_pooling!AR141</f>
        <v>0</v>
      </c>
      <c r="Y66" s="13">
        <f>BL_pooling!AS141</f>
        <v>0</v>
      </c>
      <c r="Z66" s="13">
        <f>BL_pooling!AT141</f>
        <v>0</v>
      </c>
      <c r="AA66" s="13">
        <f>BL_pooling!AU141</f>
        <v>0</v>
      </c>
      <c r="AB66" s="13">
        <f>BL_pooling!AV141</f>
        <v>0</v>
      </c>
      <c r="AC66" s="13">
        <f>BL_pooling!AW141</f>
        <v>0</v>
      </c>
    </row>
    <row r="67" spans="2:29" ht="15.6" x14ac:dyDescent="0.3">
      <c r="B67" s="135"/>
      <c r="C67" s="273">
        <v>0</v>
      </c>
      <c r="D67" s="274">
        <v>0</v>
      </c>
      <c r="E67" s="274">
        <v>0</v>
      </c>
      <c r="F67" s="274">
        <v>0</v>
      </c>
      <c r="G67" s="274">
        <v>0</v>
      </c>
      <c r="H67" s="274">
        <v>0</v>
      </c>
      <c r="I67" s="274">
        <v>0</v>
      </c>
      <c r="J67" s="274">
        <v>0</v>
      </c>
      <c r="K67" s="274">
        <v>0</v>
      </c>
      <c r="L67" s="274">
        <v>0</v>
      </c>
      <c r="M67" s="274">
        <v>0</v>
      </c>
      <c r="N67" s="274">
        <v>0</v>
      </c>
      <c r="Q67" s="195">
        <v>11</v>
      </c>
      <c r="R67" s="13">
        <f>BL_pooling!AL142</f>
        <v>2.1739130434782608E-2</v>
      </c>
      <c r="S67" s="13">
        <f>BL_pooling!AM142</f>
        <v>2.1739130434782608E-2</v>
      </c>
      <c r="T67" s="13">
        <f>BL_pooling!AN142</f>
        <v>2.1739130434782608E-2</v>
      </c>
      <c r="U67" s="13">
        <f>BL_pooling!AO142</f>
        <v>1.1904761904761904E-2</v>
      </c>
      <c r="V67" s="13">
        <f>BL_pooling!AP142</f>
        <v>0</v>
      </c>
      <c r="W67" s="13">
        <f>BL_pooling!AQ142</f>
        <v>0.1888111888111888</v>
      </c>
      <c r="X67" s="13">
        <f>BL_pooling!AR142</f>
        <v>0</v>
      </c>
      <c r="Y67" s="13">
        <f>BL_pooling!AS142</f>
        <v>0</v>
      </c>
      <c r="Z67" s="13">
        <f>BL_pooling!AT142</f>
        <v>0</v>
      </c>
      <c r="AA67" s="13">
        <f>BL_pooling!AU142</f>
        <v>0</v>
      </c>
      <c r="AB67" s="13">
        <f>BL_pooling!AV142</f>
        <v>0</v>
      </c>
      <c r="AC67" s="13">
        <f>BL_pooling!AW142</f>
        <v>0</v>
      </c>
    </row>
    <row r="68" spans="2:29" ht="15.6" x14ac:dyDescent="0.3">
      <c r="B68" s="135"/>
      <c r="C68" s="273">
        <v>0</v>
      </c>
      <c r="D68" s="274">
        <v>0</v>
      </c>
      <c r="E68" s="274">
        <v>0</v>
      </c>
      <c r="F68" s="274">
        <v>0</v>
      </c>
      <c r="G68" s="274">
        <v>0</v>
      </c>
      <c r="H68" s="274">
        <v>0</v>
      </c>
      <c r="I68" s="274">
        <v>0</v>
      </c>
      <c r="J68" s="274">
        <v>0</v>
      </c>
      <c r="K68" s="274">
        <v>0</v>
      </c>
      <c r="L68" s="274">
        <v>0</v>
      </c>
      <c r="M68" s="274">
        <v>0</v>
      </c>
      <c r="N68" s="274">
        <v>0</v>
      </c>
      <c r="Q68" s="195">
        <v>10</v>
      </c>
      <c r="R68" s="13">
        <f>BL_pooling!AL143</f>
        <v>4.3478260869565216E-2</v>
      </c>
      <c r="S68" s="13">
        <f>BL_pooling!AM143</f>
        <v>4.3478260869565216E-2</v>
      </c>
      <c r="T68" s="13">
        <f>BL_pooling!AN143</f>
        <v>4.3478260869565216E-2</v>
      </c>
      <c r="U68" s="13">
        <f>BL_pooling!AO143</f>
        <v>2.3809523809523808E-2</v>
      </c>
      <c r="V68" s="13">
        <f>BL_pooling!AP143</f>
        <v>0</v>
      </c>
      <c r="W68" s="13">
        <f>BL_pooling!AQ143</f>
        <v>0.20979020979020979</v>
      </c>
      <c r="X68" s="13">
        <f>BL_pooling!AR143</f>
        <v>1.5384615384615385E-2</v>
      </c>
      <c r="Y68" s="13">
        <f>BL_pooling!AS143</f>
        <v>0</v>
      </c>
      <c r="Z68" s="13">
        <f>BL_pooling!AT143</f>
        <v>0</v>
      </c>
      <c r="AA68" s="13">
        <f>BL_pooling!AU143</f>
        <v>0</v>
      </c>
      <c r="AB68" s="13">
        <f>BL_pooling!AV143</f>
        <v>0</v>
      </c>
      <c r="AC68" s="13">
        <f>BL_pooling!AW143</f>
        <v>0</v>
      </c>
    </row>
    <row r="69" spans="2:29" ht="15.6" x14ac:dyDescent="0.3">
      <c r="B69" s="135"/>
      <c r="C69" s="273">
        <v>0</v>
      </c>
      <c r="D69" s="274">
        <v>0</v>
      </c>
      <c r="E69" s="274">
        <v>0</v>
      </c>
      <c r="F69" s="274">
        <v>0</v>
      </c>
      <c r="G69" s="274">
        <v>0</v>
      </c>
      <c r="H69" s="274">
        <v>0</v>
      </c>
      <c r="I69" s="274">
        <v>0</v>
      </c>
      <c r="J69" s="274">
        <v>0</v>
      </c>
      <c r="K69" s="274">
        <v>0</v>
      </c>
      <c r="L69" s="274">
        <v>0</v>
      </c>
      <c r="M69" s="274">
        <v>0</v>
      </c>
      <c r="N69" s="274">
        <v>0</v>
      </c>
      <c r="Q69" s="195">
        <v>9</v>
      </c>
      <c r="R69" s="13">
        <f>BL_pooling!AL144</f>
        <v>6.5217391304347824E-2</v>
      </c>
      <c r="S69" s="13">
        <f>BL_pooling!AM144</f>
        <v>6.5217391304347824E-2</v>
      </c>
      <c r="T69" s="13">
        <f>BL_pooling!AN144</f>
        <v>6.5217391304347824E-2</v>
      </c>
      <c r="U69" s="13">
        <f>BL_pooling!AO144</f>
        <v>3.5714285714285712E-2</v>
      </c>
      <c r="V69" s="13">
        <f>BL_pooling!AP144</f>
        <v>0</v>
      </c>
      <c r="W69" s="13">
        <f>BL_pooling!AQ144</f>
        <v>0.23076923076923075</v>
      </c>
      <c r="X69" s="13">
        <f>BL_pooling!AR144</f>
        <v>3.0769230769230771E-2</v>
      </c>
      <c r="Y69" s="13">
        <f>BL_pooling!AS144</f>
        <v>0</v>
      </c>
      <c r="Z69" s="13">
        <f>BL_pooling!AT144</f>
        <v>0</v>
      </c>
      <c r="AA69" s="13">
        <f>BL_pooling!AU144</f>
        <v>0</v>
      </c>
      <c r="AB69" s="13">
        <f>BL_pooling!AV144</f>
        <v>0</v>
      </c>
      <c r="AC69" s="13">
        <f>BL_pooling!AW144</f>
        <v>0</v>
      </c>
    </row>
    <row r="70" spans="2:29" x14ac:dyDescent="0.3">
      <c r="Q70" s="195">
        <v>8</v>
      </c>
      <c r="R70" s="13">
        <f>BL_pooling!AL145</f>
        <v>8.6956521739130432E-2</v>
      </c>
      <c r="S70" s="13">
        <f>BL_pooling!AM145</f>
        <v>8.6956521739130432E-2</v>
      </c>
      <c r="T70" s="13">
        <f>BL_pooling!AN145</f>
        <v>8.6956521739130432E-2</v>
      </c>
      <c r="U70" s="13">
        <f>BL_pooling!AO145</f>
        <v>4.7619047619047616E-2</v>
      </c>
      <c r="V70" s="13">
        <f>BL_pooling!AP145</f>
        <v>0</v>
      </c>
      <c r="W70" s="13">
        <f>BL_pooling!AQ145</f>
        <v>0.25174825174825177</v>
      </c>
      <c r="X70" s="13">
        <f>BL_pooling!AR145</f>
        <v>4.6153846153846156E-2</v>
      </c>
      <c r="Y70" s="13">
        <f>BL_pooling!AS145</f>
        <v>0</v>
      </c>
      <c r="Z70" s="13">
        <f>BL_pooling!AT145</f>
        <v>0</v>
      </c>
      <c r="AA70" s="13">
        <f>BL_pooling!AU145</f>
        <v>0</v>
      </c>
      <c r="AB70" s="13">
        <f>BL_pooling!AV145</f>
        <v>0</v>
      </c>
      <c r="AC70" s="13">
        <f>BL_pooling!AW145</f>
        <v>0</v>
      </c>
    </row>
    <row r="71" spans="2:29" x14ac:dyDescent="0.3">
      <c r="Q71" s="195">
        <v>7</v>
      </c>
      <c r="R71" s="13">
        <f>BL_pooling!AL146</f>
        <v>0.10869565217391304</v>
      </c>
      <c r="S71" s="13">
        <f>BL_pooling!AM146</f>
        <v>0.10869565217391304</v>
      </c>
      <c r="T71" s="13">
        <f>BL_pooling!AN146</f>
        <v>0.10869565217391304</v>
      </c>
      <c r="U71" s="13">
        <f>BL_pooling!AO146</f>
        <v>5.9523809523809514E-2</v>
      </c>
      <c r="V71" s="13">
        <f>BL_pooling!AP146</f>
        <v>0</v>
      </c>
      <c r="W71" s="13">
        <f>BL_pooling!AQ146</f>
        <v>0.27272727272727271</v>
      </c>
      <c r="X71" s="13">
        <f>BL_pooling!AR146</f>
        <v>6.1538461538461542E-2</v>
      </c>
      <c r="Y71" s="13">
        <f>BL_pooling!AS146</f>
        <v>0</v>
      </c>
      <c r="Z71" s="13">
        <f>BL_pooling!AT146</f>
        <v>0</v>
      </c>
      <c r="AA71" s="13">
        <f>BL_pooling!AU146</f>
        <v>0</v>
      </c>
      <c r="AB71" s="13">
        <f>BL_pooling!AV146</f>
        <v>0</v>
      </c>
      <c r="AC71" s="13">
        <f>BL_pooling!AW146</f>
        <v>0</v>
      </c>
    </row>
    <row r="72" spans="2:29" x14ac:dyDescent="0.3">
      <c r="Q72" s="195">
        <v>6</v>
      </c>
      <c r="R72" s="13">
        <f>BL_pooling!AL147</f>
        <v>0.13043478260869565</v>
      </c>
      <c r="S72" s="13">
        <f>BL_pooling!AM147</f>
        <v>0.13043478260869565</v>
      </c>
      <c r="T72" s="13">
        <f>BL_pooling!AN147</f>
        <v>0.13043478260869565</v>
      </c>
      <c r="U72" s="13">
        <f>BL_pooling!AO147</f>
        <v>7.1428571428571425E-2</v>
      </c>
      <c r="V72" s="13">
        <f>BL_pooling!AP147</f>
        <v>0</v>
      </c>
      <c r="W72" s="13">
        <f>BL_pooling!AQ147</f>
        <v>0.2937062937062937</v>
      </c>
      <c r="X72" s="13">
        <f>BL_pooling!AR147</f>
        <v>7.6923076923076927E-2</v>
      </c>
      <c r="Y72" s="13">
        <f>BL_pooling!AS147</f>
        <v>2.1739130434782608E-2</v>
      </c>
      <c r="Z72" s="13">
        <f>BL_pooling!AT147</f>
        <v>0</v>
      </c>
      <c r="AA72" s="13">
        <f>BL_pooling!AU147</f>
        <v>0</v>
      </c>
      <c r="AB72" s="13">
        <f>BL_pooling!AV147</f>
        <v>0</v>
      </c>
      <c r="AC72" s="13">
        <f>BL_pooling!AW147</f>
        <v>0</v>
      </c>
    </row>
    <row r="73" spans="2:29" x14ac:dyDescent="0.3">
      <c r="Q73" s="195">
        <v>5</v>
      </c>
      <c r="R73" s="13">
        <f>BL_pooling!AL148</f>
        <v>0.15217391304347827</v>
      </c>
      <c r="S73" s="13">
        <f>BL_pooling!AM148</f>
        <v>0.15217391304347827</v>
      </c>
      <c r="T73" s="13">
        <f>BL_pooling!AN148</f>
        <v>0.15217391304347827</v>
      </c>
      <c r="U73" s="13">
        <f>BL_pooling!AO148</f>
        <v>0.14285714285714285</v>
      </c>
      <c r="V73" s="13">
        <f>BL_pooling!AP148</f>
        <v>8.4745762711864389E-2</v>
      </c>
      <c r="W73" s="13">
        <f>BL_pooling!AQ148</f>
        <v>0.31468531468531469</v>
      </c>
      <c r="X73" s="13">
        <f>BL_pooling!AR148</f>
        <v>9.2307692307692313E-2</v>
      </c>
      <c r="Y73" s="13">
        <f>BL_pooling!AS148</f>
        <v>6.5217391304347824E-2</v>
      </c>
      <c r="Z73" s="13">
        <f>BL_pooling!AT148</f>
        <v>0</v>
      </c>
      <c r="AA73" s="13">
        <f>BL_pooling!AU148</f>
        <v>0</v>
      </c>
      <c r="AB73" s="13">
        <f>BL_pooling!AV148</f>
        <v>0</v>
      </c>
      <c r="AC73" s="13">
        <f>BL_pooling!AW148</f>
        <v>0</v>
      </c>
    </row>
    <row r="74" spans="2:29" x14ac:dyDescent="0.3">
      <c r="Q74" s="195">
        <v>4</v>
      </c>
      <c r="R74" s="13">
        <f>BL_pooling!AL149</f>
        <v>0.17391304347826086</v>
      </c>
      <c r="S74" s="13">
        <f>BL_pooling!AM149</f>
        <v>0.17391304347826086</v>
      </c>
      <c r="T74" s="13">
        <f>BL_pooling!AN149</f>
        <v>0.17391304347826086</v>
      </c>
      <c r="U74" s="13">
        <f>BL_pooling!AO149</f>
        <v>0.22619047619047619</v>
      </c>
      <c r="V74" s="13">
        <f>BL_pooling!AP149</f>
        <v>0.1864406779661017</v>
      </c>
      <c r="W74" s="13">
        <f>BL_pooling!AQ149</f>
        <v>0.33566433566433568</v>
      </c>
      <c r="X74" s="13">
        <f>BL_pooling!AR149</f>
        <v>0.1076923076923077</v>
      </c>
      <c r="Y74" s="13">
        <f>BL_pooling!AS149</f>
        <v>0.10869565217391304</v>
      </c>
      <c r="Z74" s="13">
        <f>BL_pooling!AT149</f>
        <v>1.4705882352941175E-2</v>
      </c>
      <c r="AA74" s="13">
        <f>BL_pooling!AU149</f>
        <v>1.4705882352941175E-2</v>
      </c>
      <c r="AB74" s="13">
        <f>BL_pooling!AV149</f>
        <v>1.4705882352941175E-2</v>
      </c>
      <c r="AC74" s="13">
        <f>BL_pooling!AW149</f>
        <v>1.4705882352941175E-2</v>
      </c>
    </row>
    <row r="75" spans="2:29" x14ac:dyDescent="0.3">
      <c r="Q75" s="195">
        <v>3</v>
      </c>
      <c r="R75" s="13">
        <f>BL_pooling!AL150</f>
        <v>0.19565217391304349</v>
      </c>
      <c r="S75" s="13">
        <f>BL_pooling!AM150</f>
        <v>0.19565217391304349</v>
      </c>
      <c r="T75" s="13">
        <f>BL_pooling!AN150</f>
        <v>0.19565217391304349</v>
      </c>
      <c r="U75" s="13">
        <f>BL_pooling!AO150</f>
        <v>0.30952380952380953</v>
      </c>
      <c r="V75" s="13">
        <f>BL_pooling!AP150</f>
        <v>0.28813559322033899</v>
      </c>
      <c r="W75" s="13">
        <f>BL_pooling!AQ150</f>
        <v>0.35664335664335667</v>
      </c>
      <c r="X75" s="13">
        <f>BL_pooling!AR150</f>
        <v>0.12307692307692308</v>
      </c>
      <c r="Y75" s="13">
        <f>BL_pooling!AS150</f>
        <v>0.15217391304347827</v>
      </c>
      <c r="Z75" s="13">
        <f>BL_pooling!AT150</f>
        <v>2.9411764705882349E-2</v>
      </c>
      <c r="AA75" s="13">
        <f>BL_pooling!AU150</f>
        <v>2.9411764705882349E-2</v>
      </c>
      <c r="AB75" s="13">
        <f>BL_pooling!AV150</f>
        <v>2.9411764705882349E-2</v>
      </c>
      <c r="AC75" s="13">
        <f>BL_pooling!AW150</f>
        <v>2.9411764705882349E-2</v>
      </c>
    </row>
    <row r="76" spans="2:29" x14ac:dyDescent="0.3">
      <c r="Q76" s="195">
        <v>2</v>
      </c>
      <c r="R76" s="13">
        <f>BL_pooling!AL151</f>
        <v>0.30434782608695654</v>
      </c>
      <c r="S76" s="13">
        <f>BL_pooling!AM151</f>
        <v>0.30434782608695654</v>
      </c>
      <c r="T76" s="13">
        <f>BL_pooling!AN151</f>
        <v>0.30434782608695654</v>
      </c>
      <c r="U76" s="13">
        <f>BL_pooling!AO151</f>
        <v>0.40476190476190477</v>
      </c>
      <c r="V76" s="13">
        <f>BL_pooling!AP151</f>
        <v>0.38983050847457629</v>
      </c>
      <c r="W76" s="13">
        <f>BL_pooling!AQ151</f>
        <v>0.38461538461538469</v>
      </c>
      <c r="X76" s="13">
        <f>BL_pooling!AR151</f>
        <v>0.15384615384615385</v>
      </c>
      <c r="Y76" s="13">
        <f>BL_pooling!AS151</f>
        <v>0.19565217391304349</v>
      </c>
      <c r="Z76" s="13">
        <f>BL_pooling!AT151</f>
        <v>0.13235294117647059</v>
      </c>
      <c r="AA76" s="13">
        <f>BL_pooling!AU151</f>
        <v>0.13235294117647059</v>
      </c>
      <c r="AB76" s="13">
        <f>BL_pooling!AV151</f>
        <v>0.13235294117647059</v>
      </c>
      <c r="AC76" s="13">
        <f>BL_pooling!AW151</f>
        <v>0.13235294117647059</v>
      </c>
    </row>
    <row r="77" spans="2:29" x14ac:dyDescent="0.3">
      <c r="Q77" s="195">
        <v>1</v>
      </c>
      <c r="R77" s="13">
        <f>BL_pooling!AL152</f>
        <v>0.52173913043478259</v>
      </c>
      <c r="S77" s="13">
        <f>BL_pooling!AM152</f>
        <v>0.52173913043478259</v>
      </c>
      <c r="T77" s="13">
        <f>BL_pooling!AN152</f>
        <v>0.52173913043478259</v>
      </c>
      <c r="U77" s="13">
        <f>BL_pooling!AO152</f>
        <v>0.52380952380952384</v>
      </c>
      <c r="V77" s="13">
        <f>BL_pooling!AP152</f>
        <v>0.49152542372881358</v>
      </c>
      <c r="W77" s="13">
        <f>BL_pooling!AQ152</f>
        <v>0.48251748251748255</v>
      </c>
      <c r="X77" s="13">
        <f>BL_pooling!AR152</f>
        <v>0.29230769230769232</v>
      </c>
      <c r="Y77" s="13">
        <f>BL_pooling!AS152</f>
        <v>0.30434782608695654</v>
      </c>
      <c r="Z77" s="13">
        <f>BL_pooling!AT152</f>
        <v>0.25</v>
      </c>
      <c r="AA77" s="13">
        <f>BL_pooling!AU152</f>
        <v>0.25</v>
      </c>
      <c r="AB77" s="13">
        <f>BL_pooling!AV152</f>
        <v>0.25</v>
      </c>
      <c r="AC77" s="13">
        <f>BL_pooling!AW152</f>
        <v>0.25</v>
      </c>
    </row>
  </sheetData>
  <mergeCells count="29">
    <mergeCell ref="AI58:AJ58"/>
    <mergeCell ref="AI34:AJ34"/>
    <mergeCell ref="AI39:AJ39"/>
    <mergeCell ref="AI47:AJ47"/>
    <mergeCell ref="AI48:AJ48"/>
    <mergeCell ref="AI53:AJ53"/>
    <mergeCell ref="AI28:AJ28"/>
    <mergeCell ref="AI29:AJ29"/>
    <mergeCell ref="BC21:BD21"/>
    <mergeCell ref="AT10:AU10"/>
    <mergeCell ref="AL10:AM10"/>
    <mergeCell ref="AI10:AJ10"/>
    <mergeCell ref="AO10:AP10"/>
    <mergeCell ref="AI11:AJ11"/>
    <mergeCell ref="AI16:AJ16"/>
    <mergeCell ref="AI21:AJ21"/>
    <mergeCell ref="AO11:AP11"/>
    <mergeCell ref="AO16:AP16"/>
    <mergeCell ref="AO21:AP21"/>
    <mergeCell ref="BQ23:BS23"/>
    <mergeCell ref="BQ24:BQ25"/>
    <mergeCell ref="BR24:BR25"/>
    <mergeCell ref="BQ28:BQ29"/>
    <mergeCell ref="BR28:BR29"/>
    <mergeCell ref="BC6:BE6"/>
    <mergeCell ref="BC9:BC10"/>
    <mergeCell ref="BD9:BD10"/>
    <mergeCell ref="BZ3:CB3"/>
    <mergeCell ref="BZ6:BZ7"/>
  </mergeCells>
  <conditionalFormatting sqref="C4:N23">
    <cfRule type="colorScale" priority="10">
      <colorScale>
        <cfvo type="min"/>
        <cfvo type="max"/>
        <color rgb="FFFFEF9C"/>
        <color rgb="FFFF7128"/>
      </colorScale>
    </cfRule>
  </conditionalFormatting>
  <conditionalFormatting sqref="C27:N27">
    <cfRule type="colorScale" priority="9">
      <colorScale>
        <cfvo type="min"/>
        <cfvo type="max"/>
        <color rgb="FFFFEF9C"/>
        <color rgb="FFFF7128"/>
      </colorScale>
    </cfRule>
  </conditionalFormatting>
  <conditionalFormatting sqref="C50:N50">
    <cfRule type="colorScale" priority="8">
      <colorScale>
        <cfvo type="min"/>
        <cfvo type="max"/>
        <color rgb="FFFFEF9C"/>
        <color rgb="FFFF7128"/>
      </colorScale>
    </cfRule>
  </conditionalFormatting>
  <conditionalFormatting sqref="R5:AC24">
    <cfRule type="colorScale" priority="7">
      <colorScale>
        <cfvo type="min"/>
        <cfvo type="max"/>
        <color rgb="FFFFEF9C"/>
        <color rgb="FFFF7128"/>
      </colorScale>
    </cfRule>
  </conditionalFormatting>
  <conditionalFormatting sqref="R32:AC51">
    <cfRule type="colorScale" priority="6">
      <colorScale>
        <cfvo type="min"/>
        <cfvo type="max"/>
        <color rgb="FFFFEF9C"/>
        <color rgb="FFFF7128"/>
      </colorScale>
    </cfRule>
  </conditionalFormatting>
  <conditionalFormatting sqref="R58:AC77">
    <cfRule type="colorScale" priority="5">
      <colorScale>
        <cfvo type="min"/>
        <cfvo type="max"/>
        <color rgb="FFFFEF9C"/>
        <color rgb="FFFF7128"/>
      </colorScale>
    </cfRule>
  </conditionalFormatting>
  <conditionalFormatting sqref="C28:N46">
    <cfRule type="colorScale" priority="4">
      <colorScale>
        <cfvo type="min"/>
        <cfvo type="max"/>
        <color rgb="FFFFEF9C"/>
        <color rgb="FFFF7128"/>
      </colorScale>
    </cfRule>
  </conditionalFormatting>
  <conditionalFormatting sqref="C51:N69">
    <cfRule type="colorScale" priority="3">
      <colorScale>
        <cfvo type="min"/>
        <cfvo type="max"/>
        <color rgb="FFFFEF9C"/>
        <color rgb="FFFF7128"/>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Model</vt:lpstr>
      <vt:lpstr>Inputs</vt:lpstr>
      <vt:lpstr>FigureInputs</vt:lpstr>
      <vt:lpstr>Tool Guide</vt:lpstr>
      <vt:lpstr>ACL</vt:lpstr>
      <vt:lpstr>Landings1</vt:lpstr>
      <vt:lpstr>Daily</vt:lpstr>
      <vt:lpstr>Bag_Limit</vt:lpstr>
      <vt:lpstr>Vessel_Limit</vt:lpstr>
      <vt:lpstr>Blimit_tables</vt:lpstr>
      <vt:lpstr>SL_pooling</vt:lpstr>
      <vt:lpstr>BL_pooling</vt:lpstr>
      <vt:lpstr>Trip Elimination</vt:lpstr>
    </vt:vector>
  </TitlesOfParts>
  <Company>US DOC NOAA NMFS SERO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A. Farmer, Ph.D.</dc:creator>
  <cp:lastModifiedBy>Dominique Lazarre</cp:lastModifiedBy>
  <cp:lastPrinted>2012-05-01T14:01:06Z</cp:lastPrinted>
  <dcterms:created xsi:type="dcterms:W3CDTF">2011-07-20T15:19:40Z</dcterms:created>
  <dcterms:modified xsi:type="dcterms:W3CDTF">2024-05-21T18:17:17Z</dcterms:modified>
</cp:coreProperties>
</file>