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4935" windowHeight="3525" tabRatio="601" activeTab="2"/>
  </bookViews>
  <sheets>
    <sheet name="Landings 1986-2008 (Notes)" sheetId="1" r:id="rId1"/>
    <sheet name="2005 predominantly state landin" sheetId="2" r:id="rId2"/>
    <sheet name="Landings 1986-2008" sheetId="3" r:id="rId3"/>
  </sheets>
  <definedNames>
    <definedName name="_xlnm.Print_Area" localSheetId="2">'Landings 1986-2008'!$CH$3:$CO$117</definedName>
    <definedName name="_xlnm.Print_Area" localSheetId="0">'Landings 1986-2008 (Notes)'!$A$1:$I$12</definedName>
    <definedName name="_xlnm.Print_Titles" localSheetId="2">'Landings 1986-2008'!$A:$A,'Landings 1986-2008'!$1:$3</definedName>
  </definedNames>
  <calcPr fullCalcOnLoad="1"/>
</workbook>
</file>

<file path=xl/sharedStrings.xml><?xml version="1.0" encoding="utf-8"?>
<sst xmlns="http://schemas.openxmlformats.org/spreadsheetml/2006/main" count="262" uniqueCount="138">
  <si>
    <t>OTHER REC</t>
  </si>
  <si>
    <t>RED PORGY</t>
  </si>
  <si>
    <t>GRASS PORGY</t>
  </si>
  <si>
    <t>JOLTHEAD PORGY</t>
  </si>
  <si>
    <t>SAUCEREYE PORGY</t>
  </si>
  <si>
    <t>LONGSPINE PORGY</t>
  </si>
  <si>
    <t>WHITEBONE PORGY</t>
  </si>
  <si>
    <t>KNOBBED PORGY</t>
  </si>
  <si>
    <t>SCUP</t>
  </si>
  <si>
    <t>COMM</t>
  </si>
  <si>
    <t>RED GROUPER</t>
  </si>
  <si>
    <t>RED HIND</t>
  </si>
  <si>
    <t>ROCK HIND</t>
  </si>
  <si>
    <t>BLACK GROUPER</t>
  </si>
  <si>
    <t>YELLOWMOUTH GROUPER</t>
  </si>
  <si>
    <t>TIGER GROUPER</t>
  </si>
  <si>
    <t>YELLOWFIN GROUPER</t>
  </si>
  <si>
    <t>SCAMP</t>
  </si>
  <si>
    <t>GOLIATH GROUPER</t>
  </si>
  <si>
    <t>NASSAU GROUPER</t>
  </si>
  <si>
    <t>YELLOWEDGE GROUPER</t>
  </si>
  <si>
    <t>WARSAW GROUPER</t>
  </si>
  <si>
    <t>SPECKLED HIND</t>
  </si>
  <si>
    <t>MISTY GROUPER</t>
  </si>
  <si>
    <t>BLUELINE TILEFISH</t>
  </si>
  <si>
    <t>SAND TILEFISH</t>
  </si>
  <si>
    <t>SILK SNAPPER</t>
  </si>
  <si>
    <t>RED SNAPPER</t>
  </si>
  <si>
    <t>BLACK SNAPPER</t>
  </si>
  <si>
    <t>BLACKFIN SNAPPER</t>
  </si>
  <si>
    <t>QUEEN SNAPPER</t>
  </si>
  <si>
    <t>LANE SNAPPER</t>
  </si>
  <si>
    <t>MAHOGANY SNAPPER</t>
  </si>
  <si>
    <t>DOG SNAPPER</t>
  </si>
  <si>
    <t>CUBERA SNAPPER</t>
  </si>
  <si>
    <t>GRAY TRIGGERFISH</t>
  </si>
  <si>
    <t>OCEAN TRIGGERFISH</t>
  </si>
  <si>
    <t>LESSER AMBERJACK</t>
  </si>
  <si>
    <t>ALMACO JACK</t>
  </si>
  <si>
    <t>BANDED RUDDERFISH</t>
  </si>
  <si>
    <t>PORKFISH</t>
  </si>
  <si>
    <t>MARGATE</t>
  </si>
  <si>
    <t>TOMTATE</t>
  </si>
  <si>
    <t>HOGFISH</t>
  </si>
  <si>
    <t>WRECKFISH</t>
  </si>
  <si>
    <t>GRUNTS UNC</t>
  </si>
  <si>
    <t>TRIGGERFISH UNC</t>
  </si>
  <si>
    <t>GRAYSBY</t>
  </si>
  <si>
    <t>CONEY</t>
  </si>
  <si>
    <t>ROCK SEA BASS</t>
  </si>
  <si>
    <t>BANK SEA BASS</t>
  </si>
  <si>
    <t>SHEEPSHEAD</t>
  </si>
  <si>
    <t>BLUE RUNNER</t>
  </si>
  <si>
    <t>BAR JACK</t>
  </si>
  <si>
    <t>JACKS UNC</t>
  </si>
  <si>
    <t>BLACK MARGATE</t>
  </si>
  <si>
    <t>COTTONWICK</t>
  </si>
  <si>
    <t>FRENCH GRUNT</t>
  </si>
  <si>
    <t>SAILORS CHOICE</t>
  </si>
  <si>
    <t>SPANISH GRUNT</t>
  </si>
  <si>
    <t>YELLOW JACK</t>
  </si>
  <si>
    <t>QUEEN TRIGGERFISH</t>
  </si>
  <si>
    <t>PUDDINGWIFE</t>
  </si>
  <si>
    <t>SNOWY GROUPER*</t>
  </si>
  <si>
    <t>GREATER AMBERJACK*</t>
  </si>
  <si>
    <t>WHITE GRUNT*</t>
  </si>
  <si>
    <t>SHALLOW WATER GROUPER &amp; TILEFISH</t>
  </si>
  <si>
    <t>UNIT 1</t>
  </si>
  <si>
    <t>UNIT 2</t>
  </si>
  <si>
    <t>UNIT 3</t>
  </si>
  <si>
    <t>SHALLOW WATER SNAPPER</t>
  </si>
  <si>
    <t>MID-SHELF SNAPPER</t>
  </si>
  <si>
    <t>TRIGGERFISH</t>
  </si>
  <si>
    <t>JACKS</t>
  </si>
  <si>
    <t>GRUNTS &amp; PORGIES</t>
  </si>
  <si>
    <t>SEA BASS</t>
  </si>
  <si>
    <t>SCUPS &amp; PORGIES UNC</t>
  </si>
  <si>
    <t>CREVALLE JACK</t>
  </si>
  <si>
    <t>TOTAL GROUPER</t>
  </si>
  <si>
    <t>TOTAL SHALLOW-WATER GROUPER</t>
  </si>
  <si>
    <t>PERCENT SHALLOW-WATER GROUPER</t>
  </si>
  <si>
    <t>TOTAL DEEP-WATER GROUPER</t>
  </si>
  <si>
    <t>PERCENT DEEP-WATER GROUPER</t>
  </si>
  <si>
    <t>TOTAL SNAPPER</t>
  </si>
  <si>
    <t>TOTAL SHALLOW-WATER SNAPPER</t>
  </si>
  <si>
    <t>TOTAL MID-SHELF SNAPPER</t>
  </si>
  <si>
    <t>PERCENT SHALLOW-WATER SNAPPER</t>
  </si>
  <si>
    <t>PERCENT MID-SHELF SNAPPER</t>
  </si>
  <si>
    <t>TOTAL TILEFISH</t>
  </si>
  <si>
    <t>TOTAL SHALLOW-WATER TILEFISH</t>
  </si>
  <si>
    <t>PERCENT SHALLOW-WATER TILEFISH</t>
  </si>
  <si>
    <t>TOTAL DEEP-WATER TILEFISH</t>
  </si>
  <si>
    <t>PERCENT DEEP-WATER TILEFISH</t>
  </si>
  <si>
    <r>
      <t>SHALLOW-WATER GROUPER UNC</t>
    </r>
    <r>
      <rPr>
        <vertAlign val="superscript"/>
        <sz val="8"/>
        <rFont val="Arial"/>
        <family val="2"/>
      </rPr>
      <t>1</t>
    </r>
  </si>
  <si>
    <r>
      <t>DEEP-WATER GROUPER UNC</t>
    </r>
    <r>
      <rPr>
        <vertAlign val="superscript"/>
        <sz val="8"/>
        <rFont val="Arial"/>
        <family val="2"/>
      </rPr>
      <t>1</t>
    </r>
  </si>
  <si>
    <r>
      <t>DEEP-WATER TILEFISH UNC</t>
    </r>
    <r>
      <rPr>
        <vertAlign val="superscript"/>
        <sz val="8"/>
        <rFont val="Arial"/>
        <family val="2"/>
      </rPr>
      <t>3</t>
    </r>
  </si>
  <si>
    <r>
      <t>SHALLOW-WATER SNAPPERS UNC</t>
    </r>
    <r>
      <rPr>
        <vertAlign val="superscript"/>
        <sz val="8"/>
        <rFont val="Arial"/>
        <family val="2"/>
      </rPr>
      <t>2</t>
    </r>
  </si>
  <si>
    <r>
      <t>MID-SHELF SNAPPERS UNC</t>
    </r>
    <r>
      <rPr>
        <vertAlign val="superscript"/>
        <sz val="8"/>
        <rFont val="Arial"/>
        <family val="2"/>
      </rPr>
      <t>2</t>
    </r>
  </si>
  <si>
    <t>HEAD-BOAT</t>
  </si>
  <si>
    <t>CHARTER BOAT</t>
  </si>
  <si>
    <t xml:space="preserve"> </t>
  </si>
  <si>
    <t>NOTES</t>
  </si>
  <si>
    <t>END NOTES</t>
  </si>
  <si>
    <t>DATA SOURCES/NOTES</t>
  </si>
  <si>
    <r>
      <t>1</t>
    </r>
    <r>
      <rPr>
        <sz val="9"/>
        <rFont val="Arial"/>
        <family val="2"/>
      </rPr>
      <t>Commercial "grouper unc" landings were divided into the "shallow-water grouper &amp; tilefish" and "deep-water grouper &amp; tilefish" categories based on annual ratios of shallow-water grouper catches:total grouper catches and deep-water grouper catches:total grouper catches.  For example, landings of identified shallow-water grouper species comprised 83% of total landings of identified grouper species in 1986, so 83% of the grouper unc landings were added to the shallow-water grouper landings that year.  The remaining grouper unc landings were added to the deep-water grouper landings.  In calculating ratios, all species in shallow-water grouper &amp; tilefish units 1 and 2 were included in the shallow-water grouper category with the exception of sand tilefish.  All species in the deep-water grouper &amp; tilefish complex were included in the deep-water grouper category, with the exception of golden and blueline tilefish.</t>
    </r>
  </si>
  <si>
    <t>DEEP WATER SNAPPER, GROUPER &amp; TILEFISH</t>
  </si>
  <si>
    <t>GAG*</t>
  </si>
  <si>
    <t>TILEFISH (GOLDEN)</t>
  </si>
  <si>
    <t>MUTTON SNAPPER</t>
  </si>
  <si>
    <t>YELLOWTAIL SNAPPER*</t>
  </si>
  <si>
    <t>SCHOOLMASTER</t>
  </si>
  <si>
    <t>ATLANTIC SPADEFISH</t>
  </si>
  <si>
    <r>
      <t>2</t>
    </r>
    <r>
      <rPr>
        <sz val="9"/>
        <rFont val="Arial"/>
        <family val="2"/>
      </rPr>
      <t>Commercial "snapper unc" landings were divided into the "shallow-water snapper" and "mid-shelf snapper" categories based on annual ratios of shallow-water snapper catches:total snapper catches and mid-shelf snapper catches:total snapper catches.  For example, landings of identified shallow-water snapper species comprised 56% of total landings of identified snapper species in 1986, so 56% of the snapper unc landings were added to the shallow-water snapper landings that year.  The remaining snapper unc landings were added to the mid-shelf snapper landings.  In calculating ratios, all species in shallow-water snapper units 1 and 2 were included in the shallow-water snapper category with the exception of puddingwife, hogfish and sand tilefish.  All species in the mid-shelf snapper complex were included in the mid-shelf snapper category.</t>
    </r>
  </si>
  <si>
    <r>
      <t>3</t>
    </r>
    <r>
      <rPr>
        <sz val="9"/>
        <rFont val="Arial"/>
        <family val="2"/>
      </rPr>
      <t>Commercial "tilefish unc" landings were divided into the "shallow-water grouper &amp; tilefish" and "deep-water grouper &amp; tilefish" categories based on annual ratios of shallow-water tilefish catches:total tilefish catches and deep-water tilefish catches:total tilefish catches.  For example, landings of identified shallow-water tilefish species comprised 0% of total landings of identified tilefish species in 1986, so 0% of the tilefish unc landings were added to the shallow-water tilefish landings that year.  The remaining tilefish unc landings were added to the deep-water tilefish landings.  In calculating ratios, sand tilefish was included in the shallow-water tilefish category; blueline tilefish and tilefish (golden) in the deep-water tilefish category.</t>
    </r>
  </si>
  <si>
    <t>SHALLOW-WATER TILEFISH UNC3</t>
  </si>
  <si>
    <t>GRAY (MANGROVE) SNAPPER</t>
  </si>
  <si>
    <t>BLUESTRIPED GRUNT</t>
  </si>
  <si>
    <t>SMALLMOUTH GRUNT</t>
  </si>
  <si>
    <t>AMBERJACK, UNC</t>
  </si>
  <si>
    <t>Species Taken Predominately in State Waters</t>
  </si>
  <si>
    <t>2005 comm</t>
  </si>
  <si>
    <t>Mutton Snapper</t>
  </si>
  <si>
    <t>% Rec in state waters 2005</t>
  </si>
  <si>
    <t>67%*</t>
  </si>
  <si>
    <t>97%*</t>
  </si>
  <si>
    <t>Annual commercial and recreational landings &lt; 5,000 lbs</t>
  </si>
  <si>
    <t>Species</t>
  </si>
  <si>
    <t>Avg 86-05</t>
  </si>
  <si>
    <t>100%*</t>
  </si>
  <si>
    <t>* More than 2005 used to determine percent due to small magnitude of landings</t>
  </si>
  <si>
    <t>All landings are in pounds whole weight.</t>
  </si>
  <si>
    <t>TABLE 1.  COMMERCIAL AND RECREATIONAL LANDINGS OF SPECIES IN THE SNAPPER GROUPER COMPLEX FROM 1986-2006 (LBS whole weight).  2006 commercial data obtained on May 22, 2007.  2007 commercial data obtained April 2, 2008.  2005-2007 MRFSS data obtained from MRFSS web site on April 8, 2008.  2007 Headboat data are not available.</t>
  </si>
  <si>
    <t>wreckfish landings are confidential</t>
  </si>
  <si>
    <t>BLACK SEA BASS</t>
  </si>
  <si>
    <r>
      <t xml:space="preserve">Commercial data from 1986-2008 for </t>
    </r>
    <r>
      <rPr>
        <b/>
        <sz val="9"/>
        <rFont val="Arial"/>
        <family val="2"/>
      </rPr>
      <t>all species</t>
    </r>
    <r>
      <rPr>
        <sz val="9"/>
        <rFont val="Arial"/>
        <family val="2"/>
      </rPr>
      <t xml:space="preserve"> are based on general canvas data summarized by Linda Hardy Bernstein (4-25-03) and Jack McGovern (May 2009).  These represent landings for the South Atlantic including all of Monroe County.  Headboat data (1986-2008) for other species were summarized by Jennifer Potts (4-28-03) and Jack McGovern.  These represent landing for the South Atlantic to the Dry Tortugas.  Charter boat and other recreational data (1986-2008) for other species were obtained using MRFSS' online custom query feature and summarized by Heather Blough (May 2003) and Jack McGovern (May 2009).  These represent data (weight not numbers) for the South Atlantic and do not include Monroe County.  Data represent observed and reported harvest only; not fish released alive.  In cases where no data were recorded for a species, charter boat and/or other recreational landings were assumed to be zero. </t>
    </r>
  </si>
  <si>
    <t>TABLE 1.  COMMERCIAL AND RECREATIONAL LANDINGS OF SPECIES IN THE SNAPPER GROUPER COMPLEX FROM 1986-2008</t>
  </si>
  <si>
    <t>VERMILION SNAPPER</t>
  </si>
  <si>
    <t>* Species often reported as unclassified jacks or grunts.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</si>
</sst>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sz val="8"/>
      <name val="Arial"/>
      <family val="2"/>
    </font>
    <font>
      <b/>
      <sz val="8"/>
      <name val="Arial"/>
      <family val="2"/>
    </font>
    <font>
      <vertAlign val="superscript"/>
      <sz val="8"/>
      <name val="Arial"/>
      <family val="2"/>
    </font>
    <font>
      <u val="single"/>
      <sz val="10"/>
      <color indexed="12"/>
      <name val="Arial"/>
      <family val="0"/>
    </font>
    <font>
      <u val="single"/>
      <sz val="10"/>
      <color indexed="36"/>
      <name val="Arial"/>
      <family val="0"/>
    </font>
    <font>
      <b/>
      <sz val="9"/>
      <name val="Arial"/>
      <family val="2"/>
    </font>
    <font>
      <sz val="9"/>
      <name val="Arial"/>
      <family val="2"/>
    </font>
    <font>
      <vertAlign val="superscript"/>
      <sz val="9"/>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color indexed="63"/>
      </top>
      <bottom>
        <color indexed="63"/>
      </bottom>
    </border>
    <border>
      <left style="medium"/>
      <right style="thin"/>
      <top style="medium"/>
      <bottom style="thick"/>
    </border>
    <border>
      <left style="thin"/>
      <right style="thin"/>
      <top style="medium"/>
      <bottom style="thick"/>
    </border>
    <border>
      <left style="thin"/>
      <right style="medium"/>
      <top style="medium"/>
      <bottom style="thick"/>
    </border>
    <border>
      <left>
        <color indexed="63"/>
      </left>
      <right style="thin"/>
      <top style="medium"/>
      <bottom style="thick"/>
    </border>
    <border>
      <left style="thin"/>
      <right style="thick"/>
      <top style="medium"/>
      <bottom style="thick"/>
    </border>
    <border>
      <left style="thick"/>
      <right style="medium"/>
      <top style="thick"/>
      <bottom style="medium"/>
    </border>
    <border>
      <left style="thick"/>
      <right style="medium"/>
      <top>
        <color indexed="63"/>
      </top>
      <bottom style="thin"/>
    </border>
    <border>
      <left style="thick"/>
      <right style="medium"/>
      <top style="thin"/>
      <bottom style="thin"/>
    </border>
    <border>
      <left style="thick"/>
      <right style="medium"/>
      <top>
        <color indexed="63"/>
      </top>
      <bottom style="medium"/>
    </border>
    <border>
      <left style="thick"/>
      <right style="medium"/>
      <top style="thin"/>
      <bottom style="medium"/>
    </border>
    <border>
      <left style="thick"/>
      <right style="medium"/>
      <top style="thin"/>
      <bottom style="thick"/>
    </border>
    <border>
      <left style="thick"/>
      <right>
        <color indexed="63"/>
      </right>
      <top>
        <color indexed="63"/>
      </top>
      <bottom>
        <color indexed="63"/>
      </bottom>
    </border>
    <border>
      <left style="thick"/>
      <right>
        <color indexed="63"/>
      </right>
      <top>
        <color indexed="63"/>
      </top>
      <bottom style="medium"/>
    </border>
    <border>
      <left style="thick"/>
      <right style="medium"/>
      <top>
        <color indexed="63"/>
      </top>
      <bottom style="thick"/>
    </border>
    <border>
      <left style="thick"/>
      <right style="medium"/>
      <top style="thick"/>
      <bottom>
        <color indexed="63"/>
      </bottom>
    </border>
    <border>
      <left>
        <color indexed="63"/>
      </left>
      <right style="thin"/>
      <top style="thick"/>
      <bottom style="medium"/>
    </border>
    <border>
      <left style="thin"/>
      <right style="thin"/>
      <top style="thick"/>
      <bottom style="medium"/>
    </border>
    <border>
      <left style="thin"/>
      <right style="medium"/>
      <top style="thick"/>
      <bottom style="medium"/>
    </border>
    <border>
      <left style="thin"/>
      <right style="thick"/>
      <top style="thick"/>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ck"/>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ck"/>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ck"/>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ck"/>
      <top style="thin"/>
      <bottom style="medium"/>
    </border>
    <border>
      <left>
        <color indexed="63"/>
      </left>
      <right style="thin"/>
      <top style="thin"/>
      <bottom style="thick"/>
    </border>
    <border>
      <left style="thin"/>
      <right style="thin"/>
      <top style="thin"/>
      <bottom style="thick"/>
    </border>
    <border>
      <left style="thin"/>
      <right style="medium"/>
      <top style="thin"/>
      <bottom style="thick"/>
    </border>
    <border>
      <left style="thin"/>
      <right style="thick"/>
      <top style="thin"/>
      <bottom style="thick"/>
    </border>
    <border>
      <left>
        <color indexed="63"/>
      </left>
      <right>
        <color indexed="63"/>
      </right>
      <top>
        <color indexed="63"/>
      </top>
      <bottom style="medium"/>
    </border>
    <border>
      <left>
        <color indexed="63"/>
      </left>
      <right style="thin"/>
      <top>
        <color indexed="63"/>
      </top>
      <bottom style="thick"/>
    </border>
    <border>
      <left style="thin"/>
      <right style="thin"/>
      <top>
        <color indexed="63"/>
      </top>
      <bottom style="thick"/>
    </border>
    <border>
      <left style="thin"/>
      <right style="medium"/>
      <top>
        <color indexed="63"/>
      </top>
      <bottom style="thick"/>
    </border>
    <border>
      <left style="thin"/>
      <right style="thick"/>
      <top>
        <color indexed="63"/>
      </top>
      <bottom style="thick"/>
    </border>
    <border>
      <left style="thin"/>
      <right>
        <color indexed="63"/>
      </right>
      <top style="medium"/>
      <bottom style="thin"/>
    </border>
    <border>
      <left style="thin"/>
      <right>
        <color indexed="63"/>
      </right>
      <top style="thin"/>
      <bottom style="thin"/>
    </border>
    <border>
      <left style="thick"/>
      <right>
        <color indexed="63"/>
      </right>
      <top style="thin"/>
      <bottom style="thin"/>
    </border>
    <border>
      <left style="thick"/>
      <right>
        <color indexed="63"/>
      </right>
      <top style="thin"/>
      <bottom style="thick"/>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ck"/>
      <top style="thin"/>
      <bottom>
        <color indexed="63"/>
      </bottom>
    </border>
    <border>
      <left style="thin"/>
      <right>
        <color indexed="63"/>
      </right>
      <top>
        <color indexed="63"/>
      </top>
      <bottom style="thin"/>
    </border>
    <border>
      <left>
        <color indexed="63"/>
      </left>
      <right style="thin"/>
      <top style="thick"/>
      <bottom>
        <color indexed="63"/>
      </bottom>
    </border>
    <border>
      <left style="thin"/>
      <right style="thin"/>
      <top style="thick"/>
      <bottom>
        <color indexed="63"/>
      </bottom>
    </border>
    <border>
      <left style="thin"/>
      <right style="medium"/>
      <top style="thick"/>
      <bottom>
        <color indexed="63"/>
      </bottom>
    </border>
    <border>
      <left style="thin"/>
      <right style="thick"/>
      <top style="thick"/>
      <bottom>
        <color indexed="63"/>
      </bottom>
    </border>
    <border>
      <left style="thin"/>
      <right style="thick"/>
      <top>
        <color indexed="63"/>
      </top>
      <bottom>
        <color indexed="63"/>
      </bottom>
    </border>
    <border>
      <left style="medium"/>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ck"/>
      <bottom style="medium"/>
    </border>
    <border>
      <left>
        <color indexed="63"/>
      </left>
      <right style="thin"/>
      <top style="medium"/>
      <bottom>
        <color indexed="63"/>
      </bottom>
    </border>
    <border>
      <left style="thin"/>
      <right style="thin"/>
      <top style="medium"/>
      <bottom>
        <color indexed="63"/>
      </bottom>
    </border>
    <border>
      <left style="thin"/>
      <right style="thick"/>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medium"/>
      <top style="thin">
        <color indexed="8"/>
      </top>
      <bottom style="thin">
        <color indexed="8"/>
      </bottom>
    </border>
    <border>
      <left style="medium"/>
      <right style="thin"/>
      <top>
        <color indexed="63"/>
      </top>
      <bottom style="medium"/>
    </border>
    <border>
      <left style="thin"/>
      <right>
        <color indexed="63"/>
      </right>
      <top>
        <color indexed="63"/>
      </top>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color indexed="63"/>
      </right>
      <top>
        <color indexed="63"/>
      </top>
      <bottom style="thick"/>
    </border>
    <border>
      <left style="thin">
        <color indexed="8"/>
      </left>
      <right>
        <color indexed="63"/>
      </right>
      <top style="thin">
        <color indexed="8"/>
      </top>
      <bottom style="thin">
        <color indexed="8"/>
      </bottom>
    </border>
    <border>
      <left style="thin"/>
      <right>
        <color indexed="63"/>
      </right>
      <top style="thin"/>
      <bottom style="thick"/>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color indexed="63"/>
      </right>
      <top style="thin">
        <color indexed="8"/>
      </top>
      <bottom style="thin">
        <color indexed="8"/>
      </bottom>
    </border>
    <border>
      <left style="medium"/>
      <right>
        <color indexed="63"/>
      </right>
      <top>
        <color indexed="63"/>
      </top>
      <bottom>
        <color indexed="63"/>
      </bottom>
    </border>
    <border>
      <left style="thin">
        <color indexed="8"/>
      </left>
      <right style="thin">
        <color indexed="8"/>
      </right>
      <top>
        <color indexed="63"/>
      </top>
      <bottom style="thin">
        <color indexed="8"/>
      </bottom>
    </border>
    <border>
      <left style="medium"/>
      <right style="medium"/>
      <top style="thick"/>
      <bottom style="medium"/>
    </border>
    <border>
      <left style="medium"/>
      <right style="thick"/>
      <top style="thick"/>
      <bottom style="medium"/>
    </border>
    <border>
      <left>
        <color indexed="63"/>
      </left>
      <right style="medium"/>
      <top style="thick"/>
      <bottom style="medium"/>
    </border>
    <border>
      <left>
        <color indexed="63"/>
      </left>
      <right>
        <color indexed="63"/>
      </right>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7">
    <xf numFmtId="0" fontId="0" fillId="0" borderId="0" xfId="0" applyAlignment="1">
      <alignment/>
    </xf>
    <xf numFmtId="0" fontId="1" fillId="0" borderId="0" xfId="0" applyFont="1" applyAlignment="1">
      <alignment/>
    </xf>
    <xf numFmtId="3" fontId="1" fillId="0" borderId="0" xfId="0" applyNumberFormat="1" applyFont="1" applyAlignment="1">
      <alignment/>
    </xf>
    <xf numFmtId="3" fontId="2" fillId="0" borderId="10" xfId="0" applyNumberFormat="1" applyFont="1" applyBorder="1" applyAlignment="1">
      <alignment/>
    </xf>
    <xf numFmtId="3" fontId="2" fillId="0" borderId="11" xfId="0" applyNumberFormat="1" applyFont="1" applyBorder="1" applyAlignment="1">
      <alignment horizontal="center" wrapText="1"/>
    </xf>
    <xf numFmtId="3" fontId="2" fillId="0" borderId="12" xfId="0" applyNumberFormat="1" applyFont="1" applyBorder="1" applyAlignment="1">
      <alignment horizontal="center" wrapText="1"/>
    </xf>
    <xf numFmtId="3" fontId="2" fillId="0" borderId="13" xfId="0" applyNumberFormat="1" applyFont="1" applyBorder="1" applyAlignment="1">
      <alignment horizontal="center" wrapText="1"/>
    </xf>
    <xf numFmtId="3" fontId="2" fillId="0" borderId="14" xfId="0" applyNumberFormat="1" applyFont="1" applyBorder="1" applyAlignment="1">
      <alignment horizontal="center" wrapText="1"/>
    </xf>
    <xf numFmtId="3" fontId="2" fillId="0" borderId="15" xfId="0" applyNumberFormat="1" applyFont="1" applyBorder="1" applyAlignment="1">
      <alignment horizontal="center" wrapText="1"/>
    </xf>
    <xf numFmtId="3" fontId="2" fillId="0" borderId="0" xfId="0" applyNumberFormat="1" applyFont="1" applyAlignment="1">
      <alignment/>
    </xf>
    <xf numFmtId="0" fontId="2" fillId="33" borderId="16" xfId="0" applyFont="1" applyFill="1" applyBorder="1" applyAlignment="1">
      <alignment wrapText="1"/>
    </xf>
    <xf numFmtId="0" fontId="2" fillId="0" borderId="17" xfId="0" applyFont="1" applyBorder="1" applyAlignment="1">
      <alignment wrapText="1"/>
    </xf>
    <xf numFmtId="3" fontId="1" fillId="0" borderId="18" xfId="0" applyNumberFormat="1" applyFont="1" applyBorder="1" applyAlignment="1">
      <alignment horizontal="left" wrapText="1"/>
    </xf>
    <xf numFmtId="3" fontId="1" fillId="0" borderId="18" xfId="0" applyNumberFormat="1" applyFont="1" applyBorder="1" applyAlignment="1">
      <alignment horizontal="left" vertical="center" wrapText="1"/>
    </xf>
    <xf numFmtId="3" fontId="1" fillId="0" borderId="18" xfId="0" applyNumberFormat="1" applyFont="1" applyFill="1" applyBorder="1" applyAlignment="1">
      <alignment horizontal="left" vertical="center" wrapText="1"/>
    </xf>
    <xf numFmtId="3" fontId="1" fillId="0" borderId="19" xfId="0" applyNumberFormat="1" applyFont="1" applyBorder="1" applyAlignment="1">
      <alignment wrapText="1"/>
    </xf>
    <xf numFmtId="3" fontId="2" fillId="0" borderId="17" xfId="0" applyNumberFormat="1" applyFont="1" applyBorder="1" applyAlignment="1">
      <alignment/>
    </xf>
    <xf numFmtId="3" fontId="1" fillId="0" borderId="20" xfId="0" applyNumberFormat="1" applyFont="1" applyBorder="1" applyAlignment="1">
      <alignment horizontal="left" wrapText="1"/>
    </xf>
    <xf numFmtId="3" fontId="2" fillId="0" borderId="17" xfId="0" applyNumberFormat="1" applyFont="1" applyBorder="1" applyAlignment="1">
      <alignment horizontal="left" wrapText="1"/>
    </xf>
    <xf numFmtId="3" fontId="1" fillId="0" borderId="21" xfId="0" applyNumberFormat="1" applyFont="1" applyBorder="1" applyAlignment="1">
      <alignment horizontal="left" wrapText="1"/>
    </xf>
    <xf numFmtId="3" fontId="1" fillId="0" borderId="17" xfId="0" applyNumberFormat="1" applyFont="1" applyBorder="1" applyAlignment="1">
      <alignment horizontal="left" vertical="center" wrapText="1"/>
    </xf>
    <xf numFmtId="3" fontId="1" fillId="0" borderId="22" xfId="0" applyNumberFormat="1" applyFont="1" applyFill="1" applyBorder="1" applyAlignment="1">
      <alignment horizontal="left" vertical="center" wrapText="1"/>
    </xf>
    <xf numFmtId="3" fontId="1" fillId="0" borderId="23" xfId="0" applyNumberFormat="1" applyFont="1" applyFill="1" applyBorder="1" applyAlignment="1">
      <alignment horizontal="left" vertical="center" wrapText="1"/>
    </xf>
    <xf numFmtId="3" fontId="1" fillId="0" borderId="21" xfId="0" applyNumberFormat="1" applyFont="1" applyBorder="1" applyAlignment="1">
      <alignment horizontal="left" vertical="center" wrapText="1"/>
    </xf>
    <xf numFmtId="3" fontId="1" fillId="0" borderId="24" xfId="0" applyNumberFormat="1" applyFont="1" applyBorder="1" applyAlignment="1">
      <alignment horizontal="left" vertical="center" wrapText="1"/>
    </xf>
    <xf numFmtId="3" fontId="1" fillId="0" borderId="0" xfId="0" applyNumberFormat="1" applyFont="1" applyBorder="1" applyAlignment="1">
      <alignment horizontal="left" vertical="center" wrapText="1"/>
    </xf>
    <xf numFmtId="3" fontId="1" fillId="0" borderId="0" xfId="0" applyNumberFormat="1" applyFont="1" applyBorder="1" applyAlignment="1">
      <alignment wrapText="1"/>
    </xf>
    <xf numFmtId="0" fontId="2" fillId="33" borderId="16" xfId="0" applyFont="1" applyFill="1" applyBorder="1" applyAlignment="1">
      <alignment/>
    </xf>
    <xf numFmtId="3" fontId="1" fillId="0" borderId="21" xfId="0" applyNumberFormat="1" applyFont="1" applyBorder="1" applyAlignment="1">
      <alignment/>
    </xf>
    <xf numFmtId="0" fontId="2" fillId="0" borderId="17" xfId="0" applyFont="1" applyBorder="1" applyAlignment="1">
      <alignment/>
    </xf>
    <xf numFmtId="3" fontId="1" fillId="0" borderId="18" xfId="0" applyNumberFormat="1" applyFont="1" applyFill="1" applyBorder="1" applyAlignment="1">
      <alignment horizontal="left" wrapText="1"/>
    </xf>
    <xf numFmtId="3" fontId="2" fillId="33" borderId="17" xfId="0" applyNumberFormat="1" applyFont="1" applyFill="1" applyBorder="1" applyAlignment="1">
      <alignment/>
    </xf>
    <xf numFmtId="0" fontId="2" fillId="33" borderId="17" xfId="0" applyFont="1" applyFill="1" applyBorder="1" applyAlignment="1">
      <alignment/>
    </xf>
    <xf numFmtId="0" fontId="1" fillId="34" borderId="21" xfId="0" applyFont="1" applyFill="1" applyBorder="1" applyAlignment="1">
      <alignment horizontal="left" wrapText="1"/>
    </xf>
    <xf numFmtId="0" fontId="2" fillId="0" borderId="25" xfId="0" applyNumberFormat="1" applyFont="1" applyBorder="1" applyAlignment="1">
      <alignment horizontal="center"/>
    </xf>
    <xf numFmtId="0" fontId="2" fillId="0" borderId="0" xfId="0" applyNumberFormat="1" applyFont="1" applyAlignment="1">
      <alignment horizontal="center"/>
    </xf>
    <xf numFmtId="0" fontId="1" fillId="33" borderId="26" xfId="0" applyFont="1" applyFill="1" applyBorder="1" applyAlignment="1">
      <alignment/>
    </xf>
    <xf numFmtId="0" fontId="1" fillId="33" borderId="27" xfId="0" applyFont="1" applyFill="1" applyBorder="1" applyAlignment="1">
      <alignment/>
    </xf>
    <xf numFmtId="0" fontId="1" fillId="33" borderId="28" xfId="0" applyFont="1" applyFill="1" applyBorder="1" applyAlignment="1">
      <alignment/>
    </xf>
    <xf numFmtId="0" fontId="1" fillId="33" borderId="29" xfId="0" applyFont="1" applyFill="1" applyBorder="1" applyAlignment="1">
      <alignment/>
    </xf>
    <xf numFmtId="0" fontId="1" fillId="0" borderId="30"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3" fontId="1" fillId="0" borderId="34" xfId="0" applyNumberFormat="1" applyFont="1" applyBorder="1" applyAlignment="1">
      <alignment horizontal="center"/>
    </xf>
    <xf numFmtId="3" fontId="1" fillId="0" borderId="35" xfId="0" applyNumberFormat="1" applyFont="1" applyBorder="1" applyAlignment="1">
      <alignment horizontal="center"/>
    </xf>
    <xf numFmtId="3" fontId="1" fillId="0" borderId="36" xfId="0" applyNumberFormat="1" applyFont="1" applyBorder="1" applyAlignment="1">
      <alignment horizontal="center"/>
    </xf>
    <xf numFmtId="3" fontId="1" fillId="0" borderId="37" xfId="0" applyNumberFormat="1" applyFont="1" applyBorder="1" applyAlignment="1">
      <alignment horizontal="center"/>
    </xf>
    <xf numFmtId="3" fontId="1" fillId="0" borderId="34" xfId="0" applyNumberFormat="1" applyFont="1" applyFill="1" applyBorder="1" applyAlignment="1">
      <alignment horizontal="center"/>
    </xf>
    <xf numFmtId="3" fontId="1" fillId="0" borderId="35" xfId="0" applyNumberFormat="1" applyFont="1" applyFill="1" applyBorder="1" applyAlignment="1">
      <alignment horizontal="center"/>
    </xf>
    <xf numFmtId="3" fontId="1" fillId="0" borderId="36" xfId="0" applyNumberFormat="1" applyFont="1" applyFill="1" applyBorder="1" applyAlignment="1">
      <alignment horizontal="center"/>
    </xf>
    <xf numFmtId="3" fontId="1" fillId="0" borderId="37" xfId="0" applyNumberFormat="1" applyFont="1" applyFill="1" applyBorder="1" applyAlignment="1">
      <alignment horizontal="center"/>
    </xf>
    <xf numFmtId="3" fontId="1" fillId="0" borderId="0" xfId="0" applyNumberFormat="1" applyFont="1" applyFill="1" applyAlignment="1">
      <alignment/>
    </xf>
    <xf numFmtId="3" fontId="1" fillId="0" borderId="38" xfId="0" applyNumberFormat="1" applyFont="1" applyBorder="1" applyAlignment="1">
      <alignment horizontal="center"/>
    </xf>
    <xf numFmtId="3" fontId="1" fillId="0" borderId="39" xfId="0" applyNumberFormat="1" applyFont="1" applyBorder="1" applyAlignment="1">
      <alignment horizontal="center"/>
    </xf>
    <xf numFmtId="3" fontId="1" fillId="0" borderId="40" xfId="0" applyNumberFormat="1" applyFont="1" applyBorder="1" applyAlignment="1">
      <alignment horizontal="center"/>
    </xf>
    <xf numFmtId="3" fontId="1" fillId="0" borderId="41" xfId="0" applyNumberFormat="1" applyFont="1" applyBorder="1" applyAlignment="1">
      <alignment horizontal="center"/>
    </xf>
    <xf numFmtId="3" fontId="1" fillId="0" borderId="30" xfId="0" applyNumberFormat="1" applyFont="1" applyBorder="1" applyAlignment="1">
      <alignment horizontal="center"/>
    </xf>
    <xf numFmtId="3" fontId="1" fillId="0" borderId="31" xfId="0" applyNumberFormat="1" applyFont="1" applyBorder="1" applyAlignment="1">
      <alignment horizontal="center"/>
    </xf>
    <xf numFmtId="3" fontId="1" fillId="0" borderId="32" xfId="0" applyNumberFormat="1" applyFont="1" applyBorder="1" applyAlignment="1">
      <alignment horizontal="center"/>
    </xf>
    <xf numFmtId="3" fontId="1" fillId="0" borderId="33" xfId="0" applyNumberFormat="1" applyFont="1" applyBorder="1" applyAlignment="1">
      <alignment horizontal="center"/>
    </xf>
    <xf numFmtId="3" fontId="1" fillId="0" borderId="42" xfId="0" applyNumberFormat="1" applyFont="1" applyBorder="1" applyAlignment="1">
      <alignment horizontal="center"/>
    </xf>
    <xf numFmtId="3" fontId="1" fillId="0" borderId="43" xfId="0" applyNumberFormat="1" applyFont="1" applyBorder="1" applyAlignment="1">
      <alignment horizontal="center"/>
    </xf>
    <xf numFmtId="3" fontId="1" fillId="0" borderId="44" xfId="0" applyNumberFormat="1" applyFont="1" applyBorder="1" applyAlignment="1">
      <alignment horizontal="center"/>
    </xf>
    <xf numFmtId="3" fontId="1" fillId="0" borderId="45" xfId="0" applyNumberFormat="1" applyFont="1" applyBorder="1" applyAlignment="1">
      <alignment horizontal="center"/>
    </xf>
    <xf numFmtId="3" fontId="1" fillId="0" borderId="46" xfId="0" applyNumberFormat="1" applyFont="1" applyBorder="1" applyAlignment="1">
      <alignment horizontal="center"/>
    </xf>
    <xf numFmtId="3" fontId="1" fillId="0" borderId="47" xfId="0" applyNumberFormat="1" applyFont="1" applyBorder="1" applyAlignment="1">
      <alignment horizontal="center"/>
    </xf>
    <xf numFmtId="3" fontId="1" fillId="0" borderId="48" xfId="0" applyNumberFormat="1" applyFont="1" applyBorder="1" applyAlignment="1">
      <alignment horizontal="center"/>
    </xf>
    <xf numFmtId="3" fontId="1" fillId="0" borderId="49" xfId="0" applyNumberFormat="1" applyFont="1" applyBorder="1" applyAlignment="1">
      <alignment horizontal="center"/>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3" fontId="1" fillId="0" borderId="0" xfId="0" applyNumberFormat="1" applyFont="1" applyBorder="1" applyAlignment="1">
      <alignment horizontal="center"/>
    </xf>
    <xf numFmtId="3" fontId="1" fillId="0" borderId="0" xfId="0" applyNumberFormat="1" applyFont="1" applyBorder="1" applyAlignment="1">
      <alignment/>
    </xf>
    <xf numFmtId="2" fontId="1" fillId="0" borderId="0" xfId="0" applyNumberFormat="1" applyFont="1" applyBorder="1" applyAlignment="1">
      <alignment horizontal="center"/>
    </xf>
    <xf numFmtId="2" fontId="1" fillId="0" borderId="50" xfId="0" applyNumberFormat="1" applyFont="1" applyBorder="1" applyAlignment="1">
      <alignment horizontal="center"/>
    </xf>
    <xf numFmtId="3" fontId="1" fillId="0" borderId="51" xfId="0" applyNumberFormat="1" applyFont="1" applyBorder="1" applyAlignment="1">
      <alignment horizontal="center"/>
    </xf>
    <xf numFmtId="3" fontId="1" fillId="0" borderId="52" xfId="0" applyNumberFormat="1" applyFont="1" applyBorder="1" applyAlignment="1">
      <alignment horizontal="center"/>
    </xf>
    <xf numFmtId="3" fontId="1" fillId="0" borderId="53" xfId="0" applyNumberFormat="1" applyFont="1" applyBorder="1" applyAlignment="1">
      <alignment horizontal="center"/>
    </xf>
    <xf numFmtId="3" fontId="1" fillId="0" borderId="54" xfId="0" applyNumberFormat="1" applyFont="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33" borderId="32" xfId="0" applyFont="1" applyFill="1" applyBorder="1" applyAlignment="1">
      <alignment horizontal="center"/>
    </xf>
    <xf numFmtId="0" fontId="1" fillId="33" borderId="33" xfId="0" applyFont="1" applyFill="1" applyBorder="1" applyAlignment="1">
      <alignment horizontal="center"/>
    </xf>
    <xf numFmtId="3" fontId="1" fillId="34" borderId="46" xfId="0" applyNumberFormat="1" applyFont="1" applyFill="1" applyBorder="1" applyAlignment="1">
      <alignment horizontal="center"/>
    </xf>
    <xf numFmtId="0" fontId="1" fillId="34" borderId="47" xfId="0" applyFont="1" applyFill="1" applyBorder="1" applyAlignment="1">
      <alignment horizontal="center"/>
    </xf>
    <xf numFmtId="0" fontId="1" fillId="34" borderId="48" xfId="0" applyFont="1" applyFill="1" applyBorder="1" applyAlignment="1">
      <alignment horizontal="center"/>
    </xf>
    <xf numFmtId="0" fontId="1" fillId="34" borderId="49" xfId="0" applyFont="1" applyFill="1" applyBorder="1" applyAlignment="1">
      <alignment horizontal="center"/>
    </xf>
    <xf numFmtId="0" fontId="1" fillId="0" borderId="0" xfId="0" applyFont="1" applyFill="1" applyBorder="1" applyAlignment="1">
      <alignment horizontal="left" wrapText="1"/>
    </xf>
    <xf numFmtId="3"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xf>
    <xf numFmtId="3" fontId="1" fillId="0" borderId="18" xfId="0" applyNumberFormat="1" applyFont="1" applyBorder="1" applyAlignment="1">
      <alignment horizontal="left" vertical="center"/>
    </xf>
    <xf numFmtId="0" fontId="7" fillId="0" borderId="0" xfId="0" applyFont="1" applyAlignment="1">
      <alignment/>
    </xf>
    <xf numFmtId="0" fontId="6" fillId="0" borderId="0" xfId="0" applyFont="1" applyAlignment="1">
      <alignment horizontal="center"/>
    </xf>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0" fontId="7" fillId="0" borderId="0" xfId="0" applyFont="1"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wrapText="1"/>
    </xf>
    <xf numFmtId="0" fontId="7" fillId="0" borderId="0" xfId="0" applyFont="1" applyAlignment="1">
      <alignment wrapText="1"/>
    </xf>
    <xf numFmtId="3" fontId="7" fillId="0" borderId="0" xfId="0" applyNumberFormat="1" applyFont="1" applyAlignment="1">
      <alignment/>
    </xf>
    <xf numFmtId="3" fontId="1" fillId="0" borderId="18" xfId="0" applyNumberFormat="1" applyFont="1" applyBorder="1" applyAlignment="1">
      <alignment wrapText="1"/>
    </xf>
    <xf numFmtId="3" fontId="1" fillId="0" borderId="55" xfId="0" applyNumberFormat="1" applyFont="1" applyBorder="1" applyAlignment="1">
      <alignment horizontal="center"/>
    </xf>
    <xf numFmtId="3" fontId="1" fillId="0" borderId="56" xfId="0" applyNumberFormat="1" applyFont="1" applyBorder="1" applyAlignment="1">
      <alignment horizontal="center"/>
    </xf>
    <xf numFmtId="3" fontId="1" fillId="0" borderId="57" xfId="0" applyNumberFormat="1" applyFont="1" applyBorder="1" applyAlignment="1">
      <alignment horizontal="left" wrapText="1"/>
    </xf>
    <xf numFmtId="3" fontId="1" fillId="0" borderId="57" xfId="0" applyNumberFormat="1" applyFont="1" applyFill="1" applyBorder="1" applyAlignment="1">
      <alignment horizontal="left" vertical="center" wrapText="1"/>
    </xf>
    <xf numFmtId="3" fontId="1" fillId="0" borderId="58" xfId="0" applyNumberFormat="1" applyFont="1" applyFill="1" applyBorder="1" applyAlignment="1">
      <alignment horizontal="left" vertical="center" wrapText="1"/>
    </xf>
    <xf numFmtId="3" fontId="1" fillId="33" borderId="59" xfId="0" applyNumberFormat="1" applyFont="1" applyFill="1" applyBorder="1" applyAlignment="1">
      <alignment horizontal="center"/>
    </xf>
    <xf numFmtId="3" fontId="1" fillId="33" borderId="60" xfId="0" applyNumberFormat="1" applyFont="1" applyFill="1" applyBorder="1" applyAlignment="1">
      <alignment horizontal="center"/>
    </xf>
    <xf numFmtId="3" fontId="1" fillId="33" borderId="61" xfId="0" applyNumberFormat="1" applyFont="1" applyFill="1" applyBorder="1" applyAlignment="1">
      <alignment horizontal="center"/>
    </xf>
    <xf numFmtId="3" fontId="1" fillId="0" borderId="62" xfId="0" applyNumberFormat="1" applyFont="1" applyBorder="1" applyAlignment="1">
      <alignment horizontal="center"/>
    </xf>
    <xf numFmtId="3" fontId="1" fillId="0" borderId="63" xfId="0" applyNumberFormat="1" applyFont="1" applyBorder="1" applyAlignment="1">
      <alignment horizontal="center"/>
    </xf>
    <xf numFmtId="0" fontId="1" fillId="0" borderId="64" xfId="0" applyFont="1" applyBorder="1" applyAlignment="1">
      <alignment horizontal="center"/>
    </xf>
    <xf numFmtId="3" fontId="1" fillId="0" borderId="65" xfId="0" applyNumberFormat="1" applyFont="1" applyFill="1" applyBorder="1" applyAlignment="1">
      <alignment horizontal="center"/>
    </xf>
    <xf numFmtId="3" fontId="1" fillId="0" borderId="66" xfId="0" applyNumberFormat="1" applyFont="1" applyFill="1" applyBorder="1" applyAlignment="1">
      <alignment horizontal="center"/>
    </xf>
    <xf numFmtId="3" fontId="1" fillId="0" borderId="43" xfId="0" applyNumberFormat="1" applyFont="1" applyFill="1" applyBorder="1" applyAlignment="1">
      <alignment horizontal="center"/>
    </xf>
    <xf numFmtId="3" fontId="1" fillId="0" borderId="44" xfId="0" applyNumberFormat="1" applyFont="1" applyFill="1" applyBorder="1" applyAlignment="1">
      <alignment horizontal="center"/>
    </xf>
    <xf numFmtId="3" fontId="1" fillId="0" borderId="56" xfId="0" applyNumberFormat="1" applyFont="1" applyFill="1" applyBorder="1" applyAlignment="1">
      <alignment horizontal="center"/>
    </xf>
    <xf numFmtId="3" fontId="1" fillId="0" borderId="67" xfId="0" applyNumberFormat="1" applyFont="1" applyFill="1" applyBorder="1" applyAlignment="1">
      <alignment horizontal="center"/>
    </xf>
    <xf numFmtId="3" fontId="1" fillId="33" borderId="68" xfId="0" applyNumberFormat="1" applyFont="1" applyFill="1" applyBorder="1" applyAlignment="1">
      <alignment horizontal="center"/>
    </xf>
    <xf numFmtId="3" fontId="1" fillId="0" borderId="69" xfId="0" applyNumberFormat="1" applyFont="1" applyBorder="1" applyAlignment="1">
      <alignment horizontal="center"/>
    </xf>
    <xf numFmtId="3" fontId="1" fillId="0" borderId="70" xfId="0" applyNumberFormat="1" applyFont="1" applyBorder="1" applyAlignment="1">
      <alignment horizontal="center"/>
    </xf>
    <xf numFmtId="3" fontId="1" fillId="0" borderId="71" xfId="0" applyNumberFormat="1" applyFont="1" applyBorder="1" applyAlignment="1">
      <alignment horizontal="center"/>
    </xf>
    <xf numFmtId="3" fontId="1" fillId="33" borderId="62" xfId="0" applyNumberFormat="1" applyFont="1" applyFill="1" applyBorder="1" applyAlignment="1">
      <alignment horizontal="center"/>
    </xf>
    <xf numFmtId="3" fontId="1" fillId="33" borderId="63" xfId="0" applyNumberFormat="1" applyFont="1" applyFill="1" applyBorder="1" applyAlignment="1">
      <alignment horizontal="center"/>
    </xf>
    <xf numFmtId="3" fontId="1" fillId="33" borderId="64" xfId="0" applyNumberFormat="1" applyFont="1" applyFill="1" applyBorder="1" applyAlignment="1">
      <alignment horizontal="center"/>
    </xf>
    <xf numFmtId="3" fontId="1" fillId="0" borderId="65" xfId="0" applyNumberFormat="1" applyFont="1" applyBorder="1" applyAlignment="1">
      <alignment horizontal="center"/>
    </xf>
    <xf numFmtId="3" fontId="1" fillId="33" borderId="55" xfId="0" applyNumberFormat="1" applyFont="1" applyFill="1" applyBorder="1" applyAlignment="1">
      <alignment horizontal="center"/>
    </xf>
    <xf numFmtId="3" fontId="1" fillId="0" borderId="72" xfId="0" applyNumberFormat="1" applyFont="1" applyBorder="1" applyAlignment="1">
      <alignment horizontal="center"/>
    </xf>
    <xf numFmtId="3" fontId="1" fillId="0" borderId="17" xfId="0" applyNumberFormat="1" applyFont="1" applyBorder="1" applyAlignment="1">
      <alignment/>
    </xf>
    <xf numFmtId="3" fontId="1" fillId="0" borderId="10" xfId="0" applyNumberFormat="1" applyFont="1" applyBorder="1" applyAlignment="1">
      <alignment wrapText="1"/>
    </xf>
    <xf numFmtId="3" fontId="1" fillId="0" borderId="59" xfId="0" applyNumberFormat="1" applyFont="1" applyBorder="1" applyAlignment="1">
      <alignment horizontal="center"/>
    </xf>
    <xf numFmtId="3" fontId="1" fillId="0" borderId="60" xfId="0" applyNumberFormat="1" applyFont="1" applyBorder="1" applyAlignment="1">
      <alignment horizontal="center"/>
    </xf>
    <xf numFmtId="0" fontId="1" fillId="0" borderId="73" xfId="0" applyFont="1" applyBorder="1" applyAlignment="1">
      <alignment horizontal="center"/>
    </xf>
    <xf numFmtId="3" fontId="1" fillId="0" borderId="68" xfId="0" applyNumberFormat="1" applyFont="1" applyBorder="1" applyAlignment="1">
      <alignment horizontal="center"/>
    </xf>
    <xf numFmtId="0" fontId="1" fillId="33" borderId="74" xfId="0" applyFont="1" applyFill="1" applyBorder="1" applyAlignment="1">
      <alignment horizontal="center"/>
    </xf>
    <xf numFmtId="0" fontId="1" fillId="33" borderId="75" xfId="0" applyFont="1" applyFill="1" applyBorder="1" applyAlignment="1">
      <alignment horizontal="center"/>
    </xf>
    <xf numFmtId="0" fontId="1" fillId="33" borderId="76" xfId="0" applyFont="1" applyFill="1" applyBorder="1" applyAlignment="1">
      <alignment horizontal="center"/>
    </xf>
    <xf numFmtId="0" fontId="1" fillId="33" borderId="38" xfId="0" applyFont="1" applyFill="1" applyBorder="1" applyAlignment="1">
      <alignment horizontal="center"/>
    </xf>
    <xf numFmtId="0" fontId="1" fillId="33" borderId="39" xfId="0" applyFont="1" applyFill="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3" fontId="1" fillId="0" borderId="66" xfId="0" applyNumberFormat="1" applyFont="1" applyBorder="1" applyAlignment="1">
      <alignment horizontal="center"/>
    </xf>
    <xf numFmtId="0" fontId="1" fillId="0" borderId="55" xfId="0" applyFont="1" applyBorder="1" applyAlignment="1">
      <alignment horizontal="center"/>
    </xf>
    <xf numFmtId="3" fontId="1" fillId="0" borderId="67" xfId="0" applyNumberFormat="1" applyFont="1" applyBorder="1" applyAlignment="1">
      <alignment horizontal="center"/>
    </xf>
    <xf numFmtId="0" fontId="1" fillId="33" borderId="77" xfId="0" applyFont="1" applyFill="1" applyBorder="1" applyAlignment="1">
      <alignment horizontal="center"/>
    </xf>
    <xf numFmtId="0" fontId="1" fillId="33" borderId="60" xfId="0" applyFont="1" applyFill="1" applyBorder="1" applyAlignment="1">
      <alignment horizontal="center"/>
    </xf>
    <xf numFmtId="0" fontId="1" fillId="33" borderId="61" xfId="0" applyFont="1" applyFill="1" applyBorder="1" applyAlignment="1">
      <alignment horizontal="center"/>
    </xf>
    <xf numFmtId="0" fontId="1" fillId="33" borderId="78" xfId="0" applyFont="1" applyFill="1" applyBorder="1" applyAlignment="1">
      <alignment horizontal="center"/>
    </xf>
    <xf numFmtId="3" fontId="1" fillId="0" borderId="79" xfId="0" applyNumberFormat="1" applyFont="1" applyBorder="1" applyAlignment="1">
      <alignment horizontal="center"/>
    </xf>
    <xf numFmtId="3" fontId="1" fillId="0" borderId="73" xfId="0" applyNumberFormat="1" applyFont="1" applyBorder="1" applyAlignment="1">
      <alignment horizontal="center"/>
    </xf>
    <xf numFmtId="3" fontId="1" fillId="0" borderId="65" xfId="0" applyNumberFormat="1" applyFont="1" applyBorder="1" applyAlignment="1">
      <alignment horizontal="center" wrapText="1"/>
    </xf>
    <xf numFmtId="3" fontId="1" fillId="0" borderId="0" xfId="0" applyNumberFormat="1" applyFont="1" applyFill="1" applyAlignment="1">
      <alignment horizontal="center"/>
    </xf>
    <xf numFmtId="3" fontId="1" fillId="0" borderId="0" xfId="0" applyNumberFormat="1" applyFont="1" applyAlignment="1">
      <alignment horizontal="center"/>
    </xf>
    <xf numFmtId="0" fontId="1" fillId="0" borderId="0" xfId="0" applyFont="1" applyFill="1" applyAlignment="1">
      <alignment horizontal="center"/>
    </xf>
    <xf numFmtId="0" fontId="1" fillId="0" borderId="0" xfId="0" applyFont="1" applyAlignment="1">
      <alignment horizontal="center"/>
    </xf>
    <xf numFmtId="3" fontId="1" fillId="0" borderId="80" xfId="0" applyNumberFormat="1" applyFont="1" applyBorder="1" applyAlignment="1">
      <alignment horizontal="center" wrapText="1"/>
    </xf>
    <xf numFmtId="0" fontId="1" fillId="0" borderId="80" xfId="0" applyFont="1" applyBorder="1" applyAlignment="1">
      <alignment horizontal="center" wrapText="1"/>
    </xf>
    <xf numFmtId="3" fontId="1" fillId="0" borderId="80" xfId="0" applyNumberFormat="1" applyFont="1" applyFill="1" applyBorder="1" applyAlignment="1">
      <alignment horizontal="center" wrapText="1"/>
    </xf>
    <xf numFmtId="0" fontId="1" fillId="0" borderId="80" xfId="0" applyFont="1" applyFill="1" applyBorder="1" applyAlignment="1">
      <alignment horizontal="center" wrapText="1"/>
    </xf>
    <xf numFmtId="3" fontId="1" fillId="0" borderId="35" xfId="0" applyNumberFormat="1" applyFont="1" applyFill="1" applyBorder="1" applyAlignment="1">
      <alignment horizontal="left" vertical="center" wrapText="1"/>
    </xf>
    <xf numFmtId="0" fontId="1" fillId="33" borderId="81" xfId="0" applyFont="1" applyFill="1" applyBorder="1" applyAlignment="1">
      <alignment/>
    </xf>
    <xf numFmtId="3" fontId="2" fillId="0" borderId="82" xfId="0" applyNumberFormat="1" applyFont="1" applyBorder="1" applyAlignment="1">
      <alignment horizontal="center" wrapText="1"/>
    </xf>
    <xf numFmtId="3" fontId="2" fillId="0" borderId="83" xfId="0" applyNumberFormat="1" applyFont="1" applyBorder="1" applyAlignment="1">
      <alignment horizontal="center" wrapText="1"/>
    </xf>
    <xf numFmtId="3" fontId="2" fillId="0" borderId="84" xfId="0" applyNumberFormat="1" applyFont="1" applyBorder="1" applyAlignment="1">
      <alignment horizontal="center" wrapText="1"/>
    </xf>
    <xf numFmtId="0" fontId="1" fillId="33" borderId="85" xfId="0" applyFont="1" applyFill="1" applyBorder="1" applyAlignment="1">
      <alignment/>
    </xf>
    <xf numFmtId="0" fontId="1" fillId="33" borderId="86" xfId="0" applyFont="1" applyFill="1" applyBorder="1" applyAlignment="1">
      <alignment/>
    </xf>
    <xf numFmtId="0" fontId="1" fillId="33" borderId="86" xfId="0" applyFont="1" applyFill="1" applyBorder="1" applyAlignment="1">
      <alignment horizontal="center"/>
    </xf>
    <xf numFmtId="0" fontId="1" fillId="33" borderId="87" xfId="0" applyFont="1" applyFill="1" applyBorder="1" applyAlignment="1">
      <alignment horizontal="center"/>
    </xf>
    <xf numFmtId="3" fontId="1" fillId="0" borderId="88" xfId="0" applyNumberFormat="1" applyFont="1" applyBorder="1" applyAlignment="1">
      <alignment horizontal="center" wrapText="1"/>
    </xf>
    <xf numFmtId="0" fontId="1" fillId="0" borderId="88" xfId="0" applyFont="1" applyBorder="1" applyAlignment="1">
      <alignment horizontal="center" wrapText="1"/>
    </xf>
    <xf numFmtId="3" fontId="1" fillId="0" borderId="89" xfId="0" applyNumberFormat="1" applyFont="1" applyBorder="1" applyAlignment="1">
      <alignment horizontal="center"/>
    </xf>
    <xf numFmtId="0" fontId="1" fillId="33" borderId="85" xfId="0" applyFont="1" applyFill="1" applyBorder="1" applyAlignment="1">
      <alignment horizontal="center"/>
    </xf>
    <xf numFmtId="3" fontId="1" fillId="0" borderId="90" xfId="0" applyNumberFormat="1" applyFont="1" applyBorder="1" applyAlignment="1">
      <alignment horizontal="center"/>
    </xf>
    <xf numFmtId="3" fontId="1" fillId="0" borderId="91" xfId="0" applyNumberFormat="1" applyFont="1" applyBorder="1" applyAlignment="1">
      <alignment horizontal="center" wrapText="1"/>
    </xf>
    <xf numFmtId="3" fontId="1" fillId="0" borderId="92" xfId="0" applyNumberFormat="1" applyFont="1" applyBorder="1" applyAlignment="1">
      <alignment horizontal="center" wrapText="1"/>
    </xf>
    <xf numFmtId="3" fontId="1" fillId="0" borderId="64" xfId="0" applyNumberFormat="1" applyFont="1" applyBorder="1" applyAlignment="1">
      <alignment horizontal="center"/>
    </xf>
    <xf numFmtId="3" fontId="1" fillId="0" borderId="93" xfId="0" applyNumberFormat="1" applyFont="1" applyBorder="1" applyAlignment="1">
      <alignment horizontal="center"/>
    </xf>
    <xf numFmtId="0" fontId="1" fillId="33" borderId="59" xfId="0" applyFont="1" applyFill="1" applyBorder="1" applyAlignment="1">
      <alignment horizontal="center"/>
    </xf>
    <xf numFmtId="0" fontId="1" fillId="0" borderId="94" xfId="0" applyFont="1" applyBorder="1" applyAlignment="1">
      <alignment horizontal="center" wrapText="1"/>
    </xf>
    <xf numFmtId="3" fontId="1" fillId="0" borderId="95" xfId="0" applyNumberFormat="1" applyFont="1" applyBorder="1" applyAlignment="1">
      <alignment horizontal="center"/>
    </xf>
    <xf numFmtId="0" fontId="1" fillId="33" borderId="41" xfId="0" applyFont="1" applyFill="1" applyBorder="1" applyAlignment="1">
      <alignment horizontal="center"/>
    </xf>
    <xf numFmtId="3" fontId="1" fillId="0" borderId="88" xfId="0" applyNumberFormat="1" applyFont="1" applyFill="1" applyBorder="1" applyAlignment="1">
      <alignment horizontal="center" wrapText="1"/>
    </xf>
    <xf numFmtId="3" fontId="1" fillId="0" borderId="94" xfId="0" applyNumberFormat="1" applyFont="1" applyBorder="1" applyAlignment="1">
      <alignment horizontal="center" wrapText="1"/>
    </xf>
    <xf numFmtId="3" fontId="1" fillId="0" borderId="96" xfId="0" applyNumberFormat="1" applyFont="1" applyBorder="1" applyAlignment="1">
      <alignment horizontal="center" wrapText="1"/>
    </xf>
    <xf numFmtId="3" fontId="1" fillId="0" borderId="97" xfId="0" applyNumberFormat="1" applyFont="1" applyBorder="1" applyAlignment="1">
      <alignment horizontal="center" wrapText="1"/>
    </xf>
    <xf numFmtId="3" fontId="1" fillId="0" borderId="65" xfId="0" applyNumberFormat="1" applyFont="1" applyFill="1" applyBorder="1" applyAlignment="1">
      <alignment horizontal="center" wrapText="1"/>
    </xf>
    <xf numFmtId="3" fontId="1" fillId="0" borderId="98" xfId="0" applyNumberFormat="1" applyFont="1" applyBorder="1" applyAlignment="1">
      <alignment horizontal="center"/>
    </xf>
    <xf numFmtId="3" fontId="1" fillId="33" borderId="99" xfId="0" applyNumberFormat="1" applyFont="1" applyFill="1" applyBorder="1" applyAlignment="1">
      <alignment horizontal="center"/>
    </xf>
    <xf numFmtId="3" fontId="1" fillId="33" borderId="83" xfId="0" applyNumberFormat="1" applyFont="1" applyFill="1" applyBorder="1" applyAlignment="1">
      <alignment horizontal="center"/>
    </xf>
    <xf numFmtId="3" fontId="1" fillId="33" borderId="100" xfId="0" applyNumberFormat="1" applyFont="1" applyFill="1" applyBorder="1" applyAlignment="1">
      <alignment horizontal="center"/>
    </xf>
    <xf numFmtId="3" fontId="1" fillId="0" borderId="101" xfId="0" applyNumberFormat="1" applyFont="1" applyBorder="1" applyAlignment="1">
      <alignment horizontal="center"/>
    </xf>
    <xf numFmtId="0" fontId="0" fillId="0" borderId="35" xfId="0" applyBorder="1" applyAlignment="1">
      <alignment/>
    </xf>
    <xf numFmtId="0" fontId="9" fillId="33" borderId="35" xfId="0" applyFont="1" applyFill="1" applyBorder="1" applyAlignment="1">
      <alignment wrapText="1"/>
    </xf>
    <xf numFmtId="0" fontId="9" fillId="33" borderId="35" xfId="0" applyFont="1" applyFill="1" applyBorder="1" applyAlignment="1">
      <alignment/>
    </xf>
    <xf numFmtId="3" fontId="1" fillId="0" borderId="35" xfId="0" applyNumberFormat="1" applyFont="1" applyBorder="1" applyAlignment="1">
      <alignment horizontal="left" vertical="center" wrapText="1"/>
    </xf>
    <xf numFmtId="9" fontId="0" fillId="0" borderId="35" xfId="0" applyNumberFormat="1" applyFont="1" applyBorder="1" applyAlignment="1">
      <alignment horizontal="right"/>
    </xf>
    <xf numFmtId="3" fontId="0" fillId="0" borderId="35" xfId="0" applyNumberFormat="1" applyBorder="1" applyAlignment="1">
      <alignment/>
    </xf>
    <xf numFmtId="0" fontId="0" fillId="0" borderId="56" xfId="0" applyFont="1" applyBorder="1" applyAlignment="1">
      <alignment/>
    </xf>
    <xf numFmtId="3" fontId="1" fillId="0" borderId="56" xfId="0" applyNumberFormat="1" applyFont="1" applyBorder="1" applyAlignment="1">
      <alignment horizontal="left" vertical="center" wrapText="1"/>
    </xf>
    <xf numFmtId="3" fontId="1" fillId="0" borderId="56" xfId="0" applyNumberFormat="1" applyFont="1" applyFill="1" applyBorder="1" applyAlignment="1">
      <alignment horizontal="left" vertical="center" wrapText="1"/>
    </xf>
    <xf numFmtId="3" fontId="1" fillId="0" borderId="57" xfId="0" applyNumberFormat="1" applyFont="1" applyFill="1" applyBorder="1" applyAlignment="1">
      <alignment horizontal="left" wrapText="1"/>
    </xf>
    <xf numFmtId="3" fontId="1" fillId="0" borderId="57" xfId="0" applyNumberFormat="1" applyFont="1" applyBorder="1" applyAlignment="1">
      <alignment horizontal="left" vertical="center" wrapText="1"/>
    </xf>
    <xf numFmtId="3" fontId="0" fillId="0" borderId="35" xfId="0" applyNumberFormat="1" applyFont="1" applyBorder="1" applyAlignment="1">
      <alignment horizontal="right"/>
    </xf>
    <xf numFmtId="0" fontId="0" fillId="0" borderId="35" xfId="0" applyFont="1" applyBorder="1" applyAlignment="1">
      <alignment horizontal="right"/>
    </xf>
    <xf numFmtId="9" fontId="0" fillId="0" borderId="35" xfId="0" applyNumberFormat="1" applyBorder="1" applyAlignment="1">
      <alignment horizontal="right"/>
    </xf>
    <xf numFmtId="3" fontId="0" fillId="0" borderId="35" xfId="0" applyNumberFormat="1" applyBorder="1" applyAlignment="1">
      <alignment horizontal="right"/>
    </xf>
    <xf numFmtId="0" fontId="0" fillId="0" borderId="35" xfId="0" applyBorder="1" applyAlignment="1">
      <alignment horizontal="right"/>
    </xf>
    <xf numFmtId="3" fontId="1" fillId="0" borderId="35" xfId="0" applyNumberFormat="1" applyFont="1" applyFill="1" applyBorder="1" applyAlignment="1">
      <alignment horizontal="left" wrapText="1"/>
    </xf>
    <xf numFmtId="3" fontId="1" fillId="0" borderId="0" xfId="0" applyNumberFormat="1" applyFont="1" applyFill="1" applyBorder="1" applyAlignment="1">
      <alignment horizontal="left" vertical="center" wrapText="1"/>
    </xf>
    <xf numFmtId="3" fontId="1" fillId="0" borderId="35" xfId="0" applyNumberFormat="1" applyFont="1" applyBorder="1" applyAlignment="1">
      <alignment horizontal="center" wrapText="1"/>
    </xf>
    <xf numFmtId="0" fontId="1" fillId="0" borderId="35" xfId="0" applyFont="1" applyBorder="1" applyAlignment="1">
      <alignment horizontal="center" wrapText="1"/>
    </xf>
    <xf numFmtId="3" fontId="1" fillId="0" borderId="36" xfId="0" applyNumberFormat="1" applyFont="1" applyBorder="1" applyAlignment="1">
      <alignment horizontal="center" wrapText="1"/>
    </xf>
    <xf numFmtId="0" fontId="1" fillId="0" borderId="36" xfId="0" applyFont="1" applyBorder="1" applyAlignment="1">
      <alignment horizontal="center" wrapText="1"/>
    </xf>
    <xf numFmtId="0" fontId="1" fillId="33" borderId="81" xfId="0" applyFont="1" applyFill="1" applyBorder="1" applyAlignment="1">
      <alignment horizontal="center"/>
    </xf>
    <xf numFmtId="3" fontId="1" fillId="0" borderId="102" xfId="0" applyNumberFormat="1" applyFont="1" applyBorder="1" applyAlignment="1">
      <alignment horizontal="center" wrapText="1"/>
    </xf>
    <xf numFmtId="3" fontId="0" fillId="0" borderId="0" xfId="0" applyNumberFormat="1" applyAlignment="1">
      <alignment/>
    </xf>
    <xf numFmtId="3" fontId="1" fillId="0" borderId="103" xfId="0" applyNumberFormat="1" applyFont="1" applyBorder="1" applyAlignment="1">
      <alignment horizontal="center"/>
    </xf>
    <xf numFmtId="0" fontId="1" fillId="0" borderId="35" xfId="0" applyFont="1" applyBorder="1" applyAlignment="1">
      <alignment horizontal="center"/>
    </xf>
    <xf numFmtId="0" fontId="1" fillId="33" borderId="83" xfId="0" applyFont="1" applyFill="1" applyBorder="1" applyAlignment="1">
      <alignment horizontal="center"/>
    </xf>
    <xf numFmtId="0" fontId="1" fillId="33" borderId="100" xfId="0" applyFont="1" applyFill="1" applyBorder="1" applyAlignment="1">
      <alignment horizontal="center"/>
    </xf>
    <xf numFmtId="0" fontId="1" fillId="33" borderId="99" xfId="0" applyFont="1" applyFill="1" applyBorder="1" applyAlignment="1">
      <alignment horizontal="center"/>
    </xf>
    <xf numFmtId="3" fontId="1" fillId="0" borderId="104" xfId="0" applyNumberFormat="1" applyFont="1" applyBorder="1" applyAlignment="1">
      <alignment horizontal="center" wrapText="1"/>
    </xf>
    <xf numFmtId="0" fontId="1" fillId="0" borderId="0" xfId="0" applyFont="1" applyAlignment="1">
      <alignment wrapText="1"/>
    </xf>
    <xf numFmtId="0" fontId="8" fillId="0" borderId="0" xfId="0" applyFont="1" applyAlignment="1">
      <alignment wrapText="1"/>
    </xf>
    <xf numFmtId="0" fontId="7" fillId="0" borderId="0" xfId="0" applyFont="1" applyAlignment="1">
      <alignment wrapText="1"/>
    </xf>
    <xf numFmtId="3" fontId="6" fillId="0" borderId="0" xfId="0" applyNumberFormat="1" applyFont="1" applyAlignment="1">
      <alignment horizontal="center" wrapText="1"/>
    </xf>
    <xf numFmtId="0" fontId="7" fillId="0" borderId="0" xfId="0" applyFont="1" applyAlignment="1">
      <alignment horizontal="center" wrapText="1"/>
    </xf>
    <xf numFmtId="0" fontId="0" fillId="0" borderId="0" xfId="0" applyAlignment="1">
      <alignment wrapText="1"/>
    </xf>
    <xf numFmtId="0" fontId="2" fillId="0" borderId="105" xfId="0" applyNumberFormat="1" applyFont="1" applyBorder="1" applyAlignment="1">
      <alignment horizontal="center"/>
    </xf>
    <xf numFmtId="0" fontId="2" fillId="0" borderId="106" xfId="0" applyNumberFormat="1" applyFont="1" applyBorder="1" applyAlignment="1">
      <alignment horizontal="center"/>
    </xf>
    <xf numFmtId="0" fontId="2" fillId="0" borderId="107" xfId="0" applyNumberFormat="1" applyFont="1" applyBorder="1" applyAlignment="1">
      <alignment horizontal="center"/>
    </xf>
    <xf numFmtId="3" fontId="2" fillId="0" borderId="108" xfId="0" applyNumberFormat="1" applyFont="1" applyBorder="1" applyAlignment="1">
      <alignment wrapText="1"/>
    </xf>
    <xf numFmtId="0" fontId="0" fillId="0" borderId="108"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3"/>
  <sheetViews>
    <sheetView zoomScalePageLayoutView="0" workbookViewId="0" topLeftCell="A1">
      <selection activeCell="N7" sqref="N7"/>
    </sheetView>
  </sheetViews>
  <sheetFormatPr defaultColWidth="9.140625" defaultRowHeight="12.75"/>
  <cols>
    <col min="1" max="16384" width="9.140625" style="94" customWidth="1"/>
  </cols>
  <sheetData>
    <row r="1" spans="1:9" ht="22.5" customHeight="1">
      <c r="A1" s="229" t="s">
        <v>135</v>
      </c>
      <c r="B1" s="230"/>
      <c r="C1" s="230"/>
      <c r="D1" s="230"/>
      <c r="E1" s="230"/>
      <c r="F1" s="230"/>
      <c r="G1" s="230"/>
      <c r="H1" s="230"/>
      <c r="I1" s="230"/>
    </row>
    <row r="2" ht="6" customHeight="1"/>
    <row r="3" ht="12">
      <c r="E3" s="95" t="s">
        <v>101</v>
      </c>
    </row>
    <row r="4" ht="6.75" customHeight="1"/>
    <row r="5" spans="1:64" s="98" customFormat="1" ht="12">
      <c r="A5" s="97"/>
      <c r="B5" s="96"/>
      <c r="C5" s="96"/>
      <c r="D5" s="96"/>
      <c r="E5" s="97"/>
      <c r="F5" s="96"/>
      <c r="G5" s="96"/>
      <c r="H5" s="96"/>
      <c r="I5" s="97"/>
      <c r="J5" s="96"/>
      <c r="K5" s="96"/>
      <c r="L5" s="96"/>
      <c r="M5" s="97"/>
      <c r="N5" s="96"/>
      <c r="O5" s="96"/>
      <c r="P5" s="96"/>
      <c r="Q5" s="97"/>
      <c r="R5" s="96"/>
      <c r="S5" s="96"/>
      <c r="T5" s="96"/>
      <c r="U5" s="97"/>
      <c r="V5" s="96"/>
      <c r="W5" s="96"/>
      <c r="X5" s="96"/>
      <c r="Y5" s="97"/>
      <c r="Z5" s="96"/>
      <c r="AA5" s="96"/>
      <c r="AB5" s="96"/>
      <c r="AC5" s="97"/>
      <c r="AD5" s="96"/>
      <c r="AE5" s="96"/>
      <c r="AF5" s="96"/>
      <c r="AG5" s="97"/>
      <c r="AH5" s="96"/>
      <c r="AI5" s="96"/>
      <c r="AJ5" s="96"/>
      <c r="AK5" s="97"/>
      <c r="AL5" s="96"/>
      <c r="AM5" s="96"/>
      <c r="AN5" s="96"/>
      <c r="AO5" s="97"/>
      <c r="AP5" s="96"/>
      <c r="AQ5" s="96"/>
      <c r="AR5" s="96"/>
      <c r="AS5" s="97"/>
      <c r="AT5" s="96"/>
      <c r="AU5" s="96"/>
      <c r="AV5" s="96"/>
      <c r="AW5" s="97"/>
      <c r="AX5" s="96"/>
      <c r="AY5" s="96"/>
      <c r="AZ5" s="96"/>
      <c r="BA5" s="97"/>
      <c r="BB5" s="96"/>
      <c r="BC5" s="96"/>
      <c r="BD5" s="96"/>
      <c r="BE5" s="97"/>
      <c r="BF5" s="96"/>
      <c r="BG5" s="96"/>
      <c r="BH5" s="96"/>
      <c r="BI5" s="97"/>
      <c r="BJ5" s="96"/>
      <c r="BK5" s="96"/>
      <c r="BL5" s="96"/>
    </row>
    <row r="6" spans="1:15" ht="12">
      <c r="A6" s="99" t="s">
        <v>102</v>
      </c>
      <c r="B6" s="100"/>
      <c r="C6" s="100"/>
      <c r="D6" s="100"/>
      <c r="E6" s="100"/>
      <c r="F6" s="100"/>
      <c r="G6" s="100"/>
      <c r="H6" s="100"/>
      <c r="I6" s="100"/>
      <c r="J6" s="100"/>
      <c r="K6" s="100"/>
      <c r="L6" s="100"/>
      <c r="M6" s="100"/>
      <c r="N6" s="100"/>
      <c r="O6" s="100"/>
    </row>
    <row r="7" spans="1:15" ht="124.5" customHeight="1">
      <c r="A7" s="227" t="s">
        <v>104</v>
      </c>
      <c r="B7" s="231"/>
      <c r="C7" s="231"/>
      <c r="D7" s="231"/>
      <c r="E7" s="231"/>
      <c r="F7" s="231"/>
      <c r="G7" s="231"/>
      <c r="H7" s="231"/>
      <c r="I7" s="231"/>
      <c r="J7" s="102"/>
      <c r="K7" s="102"/>
      <c r="L7" s="102"/>
      <c r="M7" s="102"/>
      <c r="N7" s="102"/>
      <c r="O7" s="102"/>
    </row>
    <row r="8" spans="1:15" ht="111" customHeight="1">
      <c r="A8" s="227" t="s">
        <v>112</v>
      </c>
      <c r="B8" s="228"/>
      <c r="C8" s="228"/>
      <c r="D8" s="228"/>
      <c r="E8" s="228"/>
      <c r="F8" s="228"/>
      <c r="G8" s="228"/>
      <c r="H8" s="228"/>
      <c r="I8" s="228"/>
      <c r="J8" s="102"/>
      <c r="K8" s="102"/>
      <c r="L8" s="102"/>
      <c r="M8" s="102"/>
      <c r="N8" s="102"/>
      <c r="O8" s="102"/>
    </row>
    <row r="9" spans="1:15" ht="100.5" customHeight="1">
      <c r="A9" s="227" t="s">
        <v>113</v>
      </c>
      <c r="B9" s="228"/>
      <c r="C9" s="228"/>
      <c r="D9" s="228"/>
      <c r="E9" s="228"/>
      <c r="F9" s="228"/>
      <c r="G9" s="228"/>
      <c r="H9" s="228"/>
      <c r="I9" s="228"/>
      <c r="J9" s="102"/>
      <c r="K9" s="102"/>
      <c r="L9" s="102"/>
      <c r="M9" s="102"/>
      <c r="N9" s="102"/>
      <c r="O9" s="102"/>
    </row>
    <row r="10" spans="1:15" ht="12" customHeight="1">
      <c r="A10" s="101"/>
      <c r="B10" s="102"/>
      <c r="C10" s="102"/>
      <c r="D10" s="102"/>
      <c r="E10" s="102"/>
      <c r="F10" s="102"/>
      <c r="G10" s="102"/>
      <c r="H10" s="102"/>
      <c r="I10" s="102"/>
      <c r="J10" s="102"/>
      <c r="K10" s="102"/>
      <c r="L10" s="102"/>
      <c r="M10" s="102"/>
      <c r="N10" s="102"/>
      <c r="O10" s="102"/>
    </row>
    <row r="11" spans="1:15" ht="12">
      <c r="A11" s="99" t="s">
        <v>103</v>
      </c>
      <c r="B11" s="100"/>
      <c r="C11" s="100"/>
      <c r="D11" s="100"/>
      <c r="E11" s="100"/>
      <c r="F11" s="100"/>
      <c r="G11" s="100"/>
      <c r="H11" s="100"/>
      <c r="I11" s="100"/>
      <c r="J11" s="100"/>
      <c r="K11" s="100"/>
      <c r="L11" s="100"/>
      <c r="M11" s="100"/>
      <c r="N11" s="100"/>
      <c r="O11" s="100"/>
    </row>
    <row r="12" spans="1:15" s="103" customFormat="1" ht="129" customHeight="1">
      <c r="A12" s="228" t="s">
        <v>134</v>
      </c>
      <c r="B12" s="228"/>
      <c r="C12" s="228"/>
      <c r="D12" s="228"/>
      <c r="E12" s="228"/>
      <c r="F12" s="228"/>
      <c r="G12" s="228"/>
      <c r="H12" s="228"/>
      <c r="I12" s="228"/>
      <c r="J12" s="102"/>
      <c r="K12" s="102"/>
      <c r="L12" s="102"/>
      <c r="M12" s="102"/>
      <c r="N12" s="102"/>
      <c r="O12" s="102"/>
    </row>
    <row r="13" spans="1:9" ht="76.5" customHeight="1">
      <c r="A13" s="228" t="s">
        <v>130</v>
      </c>
      <c r="B13" s="228"/>
      <c r="C13" s="228"/>
      <c r="D13" s="228"/>
      <c r="E13" s="228"/>
      <c r="F13" s="228"/>
      <c r="G13" s="228"/>
      <c r="H13" s="228"/>
      <c r="I13" s="228"/>
    </row>
  </sheetData>
  <sheetProtection/>
  <mergeCells count="6">
    <mergeCell ref="A9:I9"/>
    <mergeCell ref="A13:I13"/>
    <mergeCell ref="A12:I12"/>
    <mergeCell ref="A1:I1"/>
    <mergeCell ref="A7:I7"/>
    <mergeCell ref="A8:I8"/>
  </mergeCells>
  <printOptions/>
  <pageMargins left="0.75" right="0.7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F21" sqref="F21"/>
    </sheetView>
  </sheetViews>
  <sheetFormatPr defaultColWidth="9.140625" defaultRowHeight="12.75"/>
  <cols>
    <col min="1" max="1" width="14.00390625" style="0" customWidth="1"/>
    <col min="3" max="3" width="12.421875" style="0" customWidth="1"/>
    <col min="6" max="6" width="11.7109375" style="0" customWidth="1"/>
  </cols>
  <sheetData>
    <row r="1" spans="1:6" ht="63.75">
      <c r="A1" s="196" t="s">
        <v>119</v>
      </c>
      <c r="B1" s="196" t="s">
        <v>122</v>
      </c>
      <c r="C1" s="197" t="s">
        <v>120</v>
      </c>
      <c r="F1" t="s">
        <v>125</v>
      </c>
    </row>
    <row r="2" spans="1:7" ht="12.75">
      <c r="A2" s="201" t="s">
        <v>121</v>
      </c>
      <c r="B2" s="199">
        <v>0.75</v>
      </c>
      <c r="C2" s="206">
        <f>'Landings 1986-2008'!BZ46</f>
        <v>167600</v>
      </c>
      <c r="F2" s="195" t="s">
        <v>126</v>
      </c>
      <c r="G2" s="195" t="s">
        <v>127</v>
      </c>
    </row>
    <row r="3" spans="1:7" ht="33.75">
      <c r="A3" s="202" t="s">
        <v>115</v>
      </c>
      <c r="B3" s="199">
        <v>0.83</v>
      </c>
      <c r="C3" s="206">
        <f>'Landings 1986-2008'!BZ47</f>
        <v>161184</v>
      </c>
      <c r="F3" s="198" t="s">
        <v>28</v>
      </c>
      <c r="G3" s="200">
        <f>('Landings 1986-2008'!CH62)/17</f>
        <v>0.9411764705882353</v>
      </c>
    </row>
    <row r="4" spans="1:7" ht="22.5">
      <c r="A4" s="202" t="s">
        <v>31</v>
      </c>
      <c r="B4" s="199">
        <v>0.7</v>
      </c>
      <c r="C4" s="206">
        <f>'Landings 1986-2008'!BZ48</f>
        <v>9765</v>
      </c>
      <c r="F4" s="198" t="s">
        <v>29</v>
      </c>
      <c r="G4" s="200">
        <f>('Landings 1986-2008'!CH63)/17</f>
        <v>11.588235294117647</v>
      </c>
    </row>
    <row r="5" spans="1:7" ht="22.5">
      <c r="A5" s="202" t="s">
        <v>32</v>
      </c>
      <c r="B5" s="199" t="s">
        <v>124</v>
      </c>
      <c r="C5" s="206">
        <f>'Landings 1986-2008'!BZ49</f>
        <v>2</v>
      </c>
      <c r="F5" s="163" t="s">
        <v>59</v>
      </c>
      <c r="G5" s="200">
        <f>'Landings 1986-2008'!CI98</f>
        <v>0</v>
      </c>
    </row>
    <row r="6" spans="1:7" ht="22.5">
      <c r="A6" s="202" t="s">
        <v>33</v>
      </c>
      <c r="B6" s="199">
        <v>1</v>
      </c>
      <c r="C6" s="206">
        <f>'Landings 1986-2008'!BZ50</f>
        <v>148</v>
      </c>
      <c r="F6" s="163" t="s">
        <v>117</v>
      </c>
      <c r="G6" s="195">
        <v>0</v>
      </c>
    </row>
    <row r="7" spans="1:7" ht="12.75">
      <c r="A7" s="202" t="s">
        <v>110</v>
      </c>
      <c r="B7" s="199">
        <v>0.85</v>
      </c>
      <c r="C7" s="206">
        <f>'Landings 1986-2008'!BZ51</f>
        <v>4</v>
      </c>
      <c r="F7" s="163" t="s">
        <v>56</v>
      </c>
      <c r="G7" s="200">
        <f>'Landings 1986-2008'!CI100</f>
        <v>19.76</v>
      </c>
    </row>
    <row r="8" spans="1:7" ht="22.5">
      <c r="A8" s="202" t="s">
        <v>34</v>
      </c>
      <c r="B8" s="199">
        <v>0.8</v>
      </c>
      <c r="C8" s="206">
        <f>'Landings 1986-2008'!BZ52</f>
        <v>1633</v>
      </c>
      <c r="F8" s="211" t="s">
        <v>2</v>
      </c>
      <c r="G8" s="200">
        <f>'Landings 1986-2008'!CI102</f>
        <v>1.65</v>
      </c>
    </row>
    <row r="9" spans="1:7" ht="22.5" customHeight="1">
      <c r="A9" s="203" t="s">
        <v>62</v>
      </c>
      <c r="B9" s="199" t="s">
        <v>123</v>
      </c>
      <c r="C9" s="207">
        <v>0</v>
      </c>
      <c r="F9" s="198" t="s">
        <v>4</v>
      </c>
      <c r="G9" s="200">
        <f>'Landings 1986-2008'!CI104</f>
        <v>892.34</v>
      </c>
    </row>
    <row r="10" spans="1:7" ht="22.5">
      <c r="A10" s="203" t="s">
        <v>111</v>
      </c>
      <c r="B10" s="208">
        <v>0.52</v>
      </c>
      <c r="C10" s="209">
        <f>'Landings 1986-2008'!CD74</f>
        <v>34209</v>
      </c>
      <c r="F10" s="163" t="s">
        <v>5</v>
      </c>
      <c r="G10" s="200">
        <f>'Landings 1986-2008'!CI107</f>
        <v>16.81</v>
      </c>
    </row>
    <row r="11" spans="1:3" ht="12.75" customHeight="1">
      <c r="A11" s="203" t="s">
        <v>60</v>
      </c>
      <c r="B11" s="208">
        <v>0.98</v>
      </c>
      <c r="C11" s="210">
        <v>0</v>
      </c>
    </row>
    <row r="12" spans="1:3" ht="12.75">
      <c r="A12" s="203" t="s">
        <v>52</v>
      </c>
      <c r="B12" s="208">
        <v>0.8</v>
      </c>
      <c r="C12" s="209">
        <f>'Landings 1986-2008'!CD83</f>
        <v>164525</v>
      </c>
    </row>
    <row r="13" spans="1:3" ht="12.75" customHeight="1">
      <c r="A13" s="203" t="s">
        <v>77</v>
      </c>
      <c r="B13" s="208">
        <v>0.98</v>
      </c>
      <c r="C13" s="209">
        <f>'Landings 1986-2008'!CD85</f>
        <v>191250</v>
      </c>
    </row>
    <row r="14" spans="1:3" ht="12.75">
      <c r="A14" s="203" t="s">
        <v>53</v>
      </c>
      <c r="B14" s="208">
        <v>0.83</v>
      </c>
      <c r="C14" s="210">
        <v>0</v>
      </c>
    </row>
    <row r="15" spans="1:3" ht="12.75" customHeight="1">
      <c r="A15" s="204" t="s">
        <v>40</v>
      </c>
      <c r="B15" s="208">
        <v>1</v>
      </c>
      <c r="C15" s="210">
        <v>0</v>
      </c>
    </row>
    <row r="16" spans="1:3" ht="12.75">
      <c r="A16" s="205" t="s">
        <v>41</v>
      </c>
      <c r="B16" s="208">
        <v>0.99</v>
      </c>
      <c r="C16" s="209">
        <f>'Landings 1986-2008'!CD93</f>
        <v>4144</v>
      </c>
    </row>
    <row r="17" spans="1:3" ht="12.75" customHeight="1">
      <c r="A17" s="108" t="s">
        <v>55</v>
      </c>
      <c r="B17" s="208">
        <v>0.97</v>
      </c>
      <c r="C17" s="210">
        <v>0</v>
      </c>
    </row>
    <row r="18" spans="1:3" ht="20.25" customHeight="1">
      <c r="A18" s="108" t="s">
        <v>116</v>
      </c>
      <c r="B18" s="208">
        <v>0.97</v>
      </c>
      <c r="C18" s="209">
        <f>'Landings 1986-2008'!CD96</f>
        <v>0</v>
      </c>
    </row>
    <row r="19" spans="1:3" ht="12.75">
      <c r="A19" s="108" t="s">
        <v>57</v>
      </c>
      <c r="B19" s="210" t="s">
        <v>128</v>
      </c>
      <c r="C19" s="210">
        <v>0</v>
      </c>
    </row>
    <row r="20" spans="1:3" ht="12.75" customHeight="1">
      <c r="A20" s="108" t="s">
        <v>59</v>
      </c>
      <c r="B20" s="210" t="s">
        <v>128</v>
      </c>
      <c r="C20" s="209">
        <v>0</v>
      </c>
    </row>
    <row r="21" spans="1:3" ht="12.75">
      <c r="A21" s="108" t="s">
        <v>58</v>
      </c>
      <c r="B21" s="208">
        <v>0.95</v>
      </c>
      <c r="C21" s="209">
        <f>'Landings 1986-2008'!CD100</f>
        <v>0</v>
      </c>
    </row>
    <row r="22" spans="1:3" ht="12.75" customHeight="1">
      <c r="A22" s="204" t="s">
        <v>2</v>
      </c>
      <c r="B22" s="208">
        <v>1</v>
      </c>
      <c r="C22" s="209">
        <f>'Landings 1986-2008'!CD102</f>
        <v>0</v>
      </c>
    </row>
    <row r="23" spans="1:3" ht="22.5">
      <c r="A23" s="205" t="s">
        <v>3</v>
      </c>
      <c r="B23" s="208">
        <v>0.63</v>
      </c>
      <c r="C23" s="209">
        <f>'Landings 1986-2008'!CD103</f>
        <v>2513</v>
      </c>
    </row>
    <row r="24" spans="1:3" ht="12.75" customHeight="1">
      <c r="A24" s="108" t="s">
        <v>51</v>
      </c>
      <c r="B24" s="208">
        <v>0.98</v>
      </c>
      <c r="C24" s="209">
        <f>'Landings 1986-2008'!CD108</f>
        <v>222004</v>
      </c>
    </row>
    <row r="26" ht="61.5" customHeight="1">
      <c r="A26" s="212" t="s">
        <v>129</v>
      </c>
    </row>
    <row r="28" ht="12.75" customHeight="1"/>
    <row r="30" ht="12.75" customHeight="1"/>
    <row r="32" ht="12.75" customHeight="1"/>
    <row r="34" ht="12.75" customHeight="1"/>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O120"/>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J118" sqref="CJ118"/>
    </sheetView>
  </sheetViews>
  <sheetFormatPr defaultColWidth="9.140625" defaultRowHeight="12.75"/>
  <cols>
    <col min="1" max="1" width="18.28125" style="1" customWidth="1"/>
    <col min="2" max="61" width="7.8515625" style="1" customWidth="1"/>
    <col min="62" max="69" width="9.28125" style="1" customWidth="1"/>
    <col min="70" max="75" width="9.140625" style="1" customWidth="1"/>
    <col min="76" max="77" width="9.140625" style="158" customWidth="1"/>
    <col min="78" max="78" width="9.57421875" style="158" bestFit="1" customWidth="1"/>
    <col min="79" max="93" width="9.140625" style="158" customWidth="1"/>
    <col min="94" max="16384" width="9.140625" style="1" customWidth="1"/>
  </cols>
  <sheetData>
    <row r="1" spans="1:93" s="2" customFormat="1" ht="32.25" customHeight="1" thickBot="1">
      <c r="A1" s="235" t="s">
        <v>131</v>
      </c>
      <c r="B1" s="236"/>
      <c r="C1" s="236"/>
      <c r="D1" s="236"/>
      <c r="E1" s="236"/>
      <c r="F1" s="236"/>
      <c r="G1" s="236"/>
      <c r="H1" s="236"/>
      <c r="I1" s="236"/>
      <c r="J1" s="236"/>
      <c r="K1" s="236"/>
      <c r="L1" s="236"/>
      <c r="M1" s="236"/>
      <c r="N1" s="236"/>
      <c r="O1" s="236"/>
      <c r="P1" s="236"/>
      <c r="Q1" s="236"/>
      <c r="R1" s="236"/>
      <c r="S1" s="236"/>
      <c r="T1" s="236"/>
      <c r="U1" s="236"/>
      <c r="V1" s="236"/>
      <c r="W1" s="236"/>
      <c r="BX1" s="156"/>
      <c r="BY1" s="156"/>
      <c r="BZ1" s="156"/>
      <c r="CA1" s="156"/>
      <c r="CB1" s="156"/>
      <c r="CC1" s="156"/>
      <c r="CD1" s="156"/>
      <c r="CE1" s="156"/>
      <c r="CF1" s="156"/>
      <c r="CG1" s="156"/>
      <c r="CH1" s="156"/>
      <c r="CI1" s="156"/>
      <c r="CJ1" s="156"/>
      <c r="CK1" s="156"/>
      <c r="CL1" s="156"/>
      <c r="CM1" s="156"/>
      <c r="CN1" s="156"/>
      <c r="CO1" s="156"/>
    </row>
    <row r="2" spans="1:93" s="35" customFormat="1" ht="12.75" thickBot="1" thickTop="1">
      <c r="A2" s="34"/>
      <c r="B2" s="234">
        <v>1986</v>
      </c>
      <c r="C2" s="232"/>
      <c r="D2" s="232"/>
      <c r="E2" s="232"/>
      <c r="F2" s="232">
        <v>1987</v>
      </c>
      <c r="G2" s="232"/>
      <c r="H2" s="232"/>
      <c r="I2" s="232"/>
      <c r="J2" s="232">
        <v>1988</v>
      </c>
      <c r="K2" s="232"/>
      <c r="L2" s="232"/>
      <c r="M2" s="232"/>
      <c r="N2" s="232">
        <v>1989</v>
      </c>
      <c r="O2" s="232"/>
      <c r="P2" s="232"/>
      <c r="Q2" s="232"/>
      <c r="R2" s="232">
        <v>1990</v>
      </c>
      <c r="S2" s="232"/>
      <c r="T2" s="232"/>
      <c r="U2" s="232"/>
      <c r="V2" s="232">
        <v>1991</v>
      </c>
      <c r="W2" s="232"/>
      <c r="X2" s="232"/>
      <c r="Y2" s="232"/>
      <c r="Z2" s="232">
        <v>1992</v>
      </c>
      <c r="AA2" s="232"/>
      <c r="AB2" s="232"/>
      <c r="AC2" s="232"/>
      <c r="AD2" s="232">
        <v>1993</v>
      </c>
      <c r="AE2" s="232"/>
      <c r="AF2" s="232"/>
      <c r="AG2" s="232"/>
      <c r="AH2" s="232">
        <v>1994</v>
      </c>
      <c r="AI2" s="232"/>
      <c r="AJ2" s="232"/>
      <c r="AK2" s="232"/>
      <c r="AL2" s="232">
        <v>1995</v>
      </c>
      <c r="AM2" s="232"/>
      <c r="AN2" s="232"/>
      <c r="AO2" s="232"/>
      <c r="AP2" s="232">
        <v>1996</v>
      </c>
      <c r="AQ2" s="232"/>
      <c r="AR2" s="232"/>
      <c r="AS2" s="232"/>
      <c r="AT2" s="232">
        <v>1997</v>
      </c>
      <c r="AU2" s="232"/>
      <c r="AV2" s="232"/>
      <c r="AW2" s="232"/>
      <c r="AX2" s="232">
        <v>1998</v>
      </c>
      <c r="AY2" s="232"/>
      <c r="AZ2" s="232"/>
      <c r="BA2" s="232"/>
      <c r="BB2" s="232">
        <v>1999</v>
      </c>
      <c r="BC2" s="232"/>
      <c r="BD2" s="232"/>
      <c r="BE2" s="232"/>
      <c r="BF2" s="232">
        <v>2000</v>
      </c>
      <c r="BG2" s="232"/>
      <c r="BH2" s="232"/>
      <c r="BI2" s="232"/>
      <c r="BJ2" s="232">
        <v>2001</v>
      </c>
      <c r="BK2" s="232"/>
      <c r="BL2" s="232"/>
      <c r="BM2" s="233"/>
      <c r="BN2" s="232">
        <v>2002</v>
      </c>
      <c r="BO2" s="232"/>
      <c r="BP2" s="232"/>
      <c r="BQ2" s="233"/>
      <c r="BR2" s="232">
        <v>2003</v>
      </c>
      <c r="BS2" s="232"/>
      <c r="BT2" s="232"/>
      <c r="BU2" s="233"/>
      <c r="BV2" s="232">
        <v>2004</v>
      </c>
      <c r="BW2" s="232"/>
      <c r="BX2" s="232"/>
      <c r="BY2" s="233"/>
      <c r="BZ2" s="232">
        <v>2005</v>
      </c>
      <c r="CA2" s="232"/>
      <c r="CB2" s="232"/>
      <c r="CC2" s="233"/>
      <c r="CD2" s="232">
        <v>2006</v>
      </c>
      <c r="CE2" s="232"/>
      <c r="CF2" s="232"/>
      <c r="CG2" s="233"/>
      <c r="CH2" s="232">
        <v>2007</v>
      </c>
      <c r="CI2" s="232"/>
      <c r="CJ2" s="232"/>
      <c r="CK2" s="233"/>
      <c r="CL2" s="232">
        <v>2008</v>
      </c>
      <c r="CM2" s="232"/>
      <c r="CN2" s="232"/>
      <c r="CO2" s="233"/>
    </row>
    <row r="3" spans="1:93" s="9" customFormat="1" ht="23.25" thickBot="1">
      <c r="A3" s="3"/>
      <c r="B3" s="4" t="s">
        <v>9</v>
      </c>
      <c r="C3" s="5" t="s">
        <v>98</v>
      </c>
      <c r="D3" s="5" t="s">
        <v>99</v>
      </c>
      <c r="E3" s="6" t="s">
        <v>0</v>
      </c>
      <c r="F3" s="7" t="s">
        <v>9</v>
      </c>
      <c r="G3" s="5" t="s">
        <v>98</v>
      </c>
      <c r="H3" s="5" t="s">
        <v>99</v>
      </c>
      <c r="I3" s="6" t="s">
        <v>0</v>
      </c>
      <c r="J3" s="7" t="s">
        <v>9</v>
      </c>
      <c r="K3" s="5" t="s">
        <v>98</v>
      </c>
      <c r="L3" s="5" t="s">
        <v>99</v>
      </c>
      <c r="M3" s="6" t="s">
        <v>0</v>
      </c>
      <c r="N3" s="7" t="s">
        <v>9</v>
      </c>
      <c r="O3" s="5" t="s">
        <v>98</v>
      </c>
      <c r="P3" s="5" t="s">
        <v>99</v>
      </c>
      <c r="Q3" s="6" t="s">
        <v>0</v>
      </c>
      <c r="R3" s="7" t="s">
        <v>9</v>
      </c>
      <c r="S3" s="5" t="s">
        <v>98</v>
      </c>
      <c r="T3" s="5" t="s">
        <v>99</v>
      </c>
      <c r="U3" s="6" t="s">
        <v>0</v>
      </c>
      <c r="V3" s="7" t="s">
        <v>9</v>
      </c>
      <c r="W3" s="5" t="s">
        <v>98</v>
      </c>
      <c r="X3" s="5" t="s">
        <v>99</v>
      </c>
      <c r="Y3" s="6" t="s">
        <v>0</v>
      </c>
      <c r="Z3" s="7" t="s">
        <v>9</v>
      </c>
      <c r="AA3" s="5" t="s">
        <v>98</v>
      </c>
      <c r="AB3" s="5" t="s">
        <v>99</v>
      </c>
      <c r="AC3" s="6" t="s">
        <v>0</v>
      </c>
      <c r="AD3" s="7" t="s">
        <v>9</v>
      </c>
      <c r="AE3" s="5" t="s">
        <v>98</v>
      </c>
      <c r="AF3" s="5" t="s">
        <v>99</v>
      </c>
      <c r="AG3" s="6" t="s">
        <v>0</v>
      </c>
      <c r="AH3" s="7" t="s">
        <v>9</v>
      </c>
      <c r="AI3" s="5" t="s">
        <v>98</v>
      </c>
      <c r="AJ3" s="5" t="s">
        <v>99</v>
      </c>
      <c r="AK3" s="6" t="s">
        <v>0</v>
      </c>
      <c r="AL3" s="7" t="s">
        <v>9</v>
      </c>
      <c r="AM3" s="5" t="s">
        <v>98</v>
      </c>
      <c r="AN3" s="5" t="s">
        <v>99</v>
      </c>
      <c r="AO3" s="6" t="s">
        <v>0</v>
      </c>
      <c r="AP3" s="7" t="s">
        <v>9</v>
      </c>
      <c r="AQ3" s="5" t="s">
        <v>98</v>
      </c>
      <c r="AR3" s="5" t="s">
        <v>99</v>
      </c>
      <c r="AS3" s="6" t="s">
        <v>0</v>
      </c>
      <c r="AT3" s="7" t="s">
        <v>9</v>
      </c>
      <c r="AU3" s="5" t="s">
        <v>98</v>
      </c>
      <c r="AV3" s="5" t="s">
        <v>99</v>
      </c>
      <c r="AW3" s="6" t="s">
        <v>0</v>
      </c>
      <c r="AX3" s="7" t="s">
        <v>9</v>
      </c>
      <c r="AY3" s="5" t="s">
        <v>98</v>
      </c>
      <c r="AZ3" s="5" t="s">
        <v>99</v>
      </c>
      <c r="BA3" s="6" t="s">
        <v>0</v>
      </c>
      <c r="BB3" s="7" t="s">
        <v>9</v>
      </c>
      <c r="BC3" s="5" t="s">
        <v>98</v>
      </c>
      <c r="BD3" s="5" t="s">
        <v>99</v>
      </c>
      <c r="BE3" s="6" t="s">
        <v>0</v>
      </c>
      <c r="BF3" s="7" t="s">
        <v>9</v>
      </c>
      <c r="BG3" s="5" t="s">
        <v>98</v>
      </c>
      <c r="BH3" s="5" t="s">
        <v>99</v>
      </c>
      <c r="BI3" s="6" t="s">
        <v>0</v>
      </c>
      <c r="BJ3" s="7" t="s">
        <v>9</v>
      </c>
      <c r="BK3" s="5" t="s">
        <v>98</v>
      </c>
      <c r="BL3" s="5" t="s">
        <v>99</v>
      </c>
      <c r="BM3" s="8" t="s">
        <v>0</v>
      </c>
      <c r="BN3" s="7" t="s">
        <v>9</v>
      </c>
      <c r="BO3" s="5" t="s">
        <v>98</v>
      </c>
      <c r="BP3" s="5" t="s">
        <v>99</v>
      </c>
      <c r="BQ3" s="8" t="s">
        <v>0</v>
      </c>
      <c r="BR3" s="7" t="s">
        <v>9</v>
      </c>
      <c r="BS3" s="5" t="s">
        <v>98</v>
      </c>
      <c r="BT3" s="5" t="s">
        <v>99</v>
      </c>
      <c r="BU3" s="8" t="s">
        <v>0</v>
      </c>
      <c r="BV3" s="165" t="s">
        <v>9</v>
      </c>
      <c r="BW3" s="166" t="s">
        <v>98</v>
      </c>
      <c r="BX3" s="166" t="s">
        <v>99</v>
      </c>
      <c r="BY3" s="167" t="s">
        <v>0</v>
      </c>
      <c r="BZ3" s="165" t="s">
        <v>9</v>
      </c>
      <c r="CA3" s="166" t="s">
        <v>98</v>
      </c>
      <c r="CB3" s="166" t="s">
        <v>99</v>
      </c>
      <c r="CC3" s="167" t="s">
        <v>0</v>
      </c>
      <c r="CD3" s="7" t="s">
        <v>9</v>
      </c>
      <c r="CE3" s="5" t="s">
        <v>98</v>
      </c>
      <c r="CF3" s="5" t="s">
        <v>99</v>
      </c>
      <c r="CG3" s="8" t="s">
        <v>0</v>
      </c>
      <c r="CH3" s="7" t="s">
        <v>9</v>
      </c>
      <c r="CI3" s="5" t="s">
        <v>98</v>
      </c>
      <c r="CJ3" s="5" t="s">
        <v>99</v>
      </c>
      <c r="CK3" s="8" t="s">
        <v>0</v>
      </c>
      <c r="CL3" s="7" t="s">
        <v>9</v>
      </c>
      <c r="CM3" s="5" t="s">
        <v>98</v>
      </c>
      <c r="CN3" s="5" t="s">
        <v>99</v>
      </c>
      <c r="CO3" s="8" t="s">
        <v>0</v>
      </c>
    </row>
    <row r="4" spans="1:93" ht="27.75" customHeight="1" thickBot="1" thickTop="1">
      <c r="A4" s="10" t="s">
        <v>66</v>
      </c>
      <c r="B4" s="36"/>
      <c r="C4" s="37"/>
      <c r="D4" s="37"/>
      <c r="E4" s="38"/>
      <c r="F4" s="36"/>
      <c r="G4" s="37"/>
      <c r="H4" s="37"/>
      <c r="I4" s="38"/>
      <c r="J4" s="36"/>
      <c r="K4" s="37"/>
      <c r="L4" s="37"/>
      <c r="M4" s="38"/>
      <c r="N4" s="36"/>
      <c r="O4" s="37"/>
      <c r="P4" s="37"/>
      <c r="Q4" s="38"/>
      <c r="R4" s="36"/>
      <c r="S4" s="37"/>
      <c r="T4" s="37"/>
      <c r="U4" s="38"/>
      <c r="V4" s="36"/>
      <c r="W4" s="37"/>
      <c r="X4" s="37"/>
      <c r="Y4" s="38"/>
      <c r="Z4" s="36"/>
      <c r="AA4" s="37"/>
      <c r="AB4" s="37"/>
      <c r="AC4" s="38"/>
      <c r="AD4" s="36"/>
      <c r="AE4" s="37"/>
      <c r="AF4" s="37"/>
      <c r="AG4" s="38"/>
      <c r="AH4" s="36"/>
      <c r="AI4" s="37"/>
      <c r="AJ4" s="37"/>
      <c r="AK4" s="38"/>
      <c r="AL4" s="36"/>
      <c r="AM4" s="37"/>
      <c r="AN4" s="37"/>
      <c r="AO4" s="38"/>
      <c r="AP4" s="36"/>
      <c r="AQ4" s="37"/>
      <c r="AR4" s="37"/>
      <c r="AS4" s="38"/>
      <c r="AT4" s="36"/>
      <c r="AU4" s="37"/>
      <c r="AV4" s="37"/>
      <c r="AW4" s="38"/>
      <c r="AX4" s="36"/>
      <c r="AY4" s="37"/>
      <c r="AZ4" s="37"/>
      <c r="BA4" s="38"/>
      <c r="BB4" s="36"/>
      <c r="BC4" s="37"/>
      <c r="BD4" s="37"/>
      <c r="BE4" s="38"/>
      <c r="BF4" s="36"/>
      <c r="BG4" s="37"/>
      <c r="BH4" s="37"/>
      <c r="BI4" s="38"/>
      <c r="BJ4" s="36"/>
      <c r="BK4" s="37"/>
      <c r="BL4" s="37"/>
      <c r="BM4" s="39"/>
      <c r="BN4" s="36"/>
      <c r="BO4" s="37"/>
      <c r="BP4" s="37"/>
      <c r="BQ4" s="39"/>
      <c r="BR4" s="36"/>
      <c r="BS4" s="37"/>
      <c r="BT4" s="37"/>
      <c r="BU4" s="164"/>
      <c r="BV4" s="168"/>
      <c r="BW4" s="169"/>
      <c r="BX4" s="170"/>
      <c r="BY4" s="171"/>
      <c r="BZ4" s="175"/>
      <c r="CA4" s="170"/>
      <c r="CB4" s="170"/>
      <c r="CC4" s="171"/>
      <c r="CD4" s="69"/>
      <c r="CE4" s="70"/>
      <c r="CF4" s="70"/>
      <c r="CG4" s="72"/>
      <c r="CH4" s="138"/>
      <c r="CI4" s="139"/>
      <c r="CJ4" s="139"/>
      <c r="CK4" s="148"/>
      <c r="CL4" s="69"/>
      <c r="CM4" s="70"/>
      <c r="CN4" s="70"/>
      <c r="CO4" s="72"/>
    </row>
    <row r="5" spans="1:93" ht="12.75" customHeight="1">
      <c r="A5" s="11" t="s">
        <v>67</v>
      </c>
      <c r="B5" s="40"/>
      <c r="C5" s="41"/>
      <c r="D5" s="41"/>
      <c r="E5" s="42"/>
      <c r="F5" s="40"/>
      <c r="G5" s="41"/>
      <c r="H5" s="41"/>
      <c r="I5" s="42"/>
      <c r="J5" s="40"/>
      <c r="K5" s="41"/>
      <c r="L5" s="41"/>
      <c r="M5" s="42"/>
      <c r="N5" s="40"/>
      <c r="O5" s="41"/>
      <c r="P5" s="41"/>
      <c r="Q5" s="42"/>
      <c r="R5" s="40"/>
      <c r="S5" s="41"/>
      <c r="T5" s="41"/>
      <c r="U5" s="42"/>
      <c r="V5" s="40"/>
      <c r="W5" s="41"/>
      <c r="X5" s="41"/>
      <c r="Y5" s="42"/>
      <c r="Z5" s="40"/>
      <c r="AA5" s="41"/>
      <c r="AB5" s="41"/>
      <c r="AC5" s="42"/>
      <c r="AD5" s="40"/>
      <c r="AE5" s="41"/>
      <c r="AF5" s="41"/>
      <c r="AG5" s="42"/>
      <c r="AH5" s="40"/>
      <c r="AI5" s="41"/>
      <c r="AJ5" s="41"/>
      <c r="AK5" s="42"/>
      <c r="AL5" s="40"/>
      <c r="AM5" s="41"/>
      <c r="AN5" s="41"/>
      <c r="AO5" s="42"/>
      <c r="AP5" s="40"/>
      <c r="AQ5" s="41"/>
      <c r="AR5" s="41"/>
      <c r="AS5" s="42"/>
      <c r="AT5" s="40"/>
      <c r="AU5" s="41"/>
      <c r="AV5" s="41"/>
      <c r="AW5" s="42"/>
      <c r="AX5" s="40"/>
      <c r="AY5" s="41"/>
      <c r="AZ5" s="41"/>
      <c r="BA5" s="42"/>
      <c r="BB5" s="40"/>
      <c r="BC5" s="41"/>
      <c r="BD5" s="41"/>
      <c r="BE5" s="42"/>
      <c r="BF5" s="40"/>
      <c r="BG5" s="41"/>
      <c r="BH5" s="41"/>
      <c r="BI5" s="42"/>
      <c r="BJ5" s="40"/>
      <c r="BK5" s="41"/>
      <c r="BL5" s="41"/>
      <c r="BM5" s="43"/>
      <c r="BN5" s="40"/>
      <c r="BO5" s="41"/>
      <c r="BP5" s="41"/>
      <c r="BQ5" s="43"/>
      <c r="BR5" s="40"/>
      <c r="BS5" s="41"/>
      <c r="BT5" s="41"/>
      <c r="BU5" s="136"/>
      <c r="BV5" s="143"/>
      <c r="BW5" s="144"/>
      <c r="BX5" s="144"/>
      <c r="BY5" s="115"/>
      <c r="BZ5" s="143"/>
      <c r="CA5" s="144"/>
      <c r="CB5" s="144"/>
      <c r="CC5" s="115"/>
      <c r="CD5" s="143"/>
      <c r="CE5" s="144"/>
      <c r="CF5" s="144"/>
      <c r="CG5" s="115"/>
      <c r="CH5" s="143"/>
      <c r="CI5" s="146"/>
      <c r="CJ5" s="144"/>
      <c r="CK5" s="115"/>
      <c r="CL5" s="143"/>
      <c r="CM5" s="144"/>
      <c r="CN5" s="144"/>
      <c r="CO5" s="115"/>
    </row>
    <row r="6" spans="1:93" s="2" customFormat="1" ht="12.75">
      <c r="A6" s="12" t="s">
        <v>106</v>
      </c>
      <c r="B6" s="44">
        <v>826926</v>
      </c>
      <c r="C6" s="45">
        <f>60839*2.2046</f>
        <v>134125.6594</v>
      </c>
      <c r="D6" s="45">
        <v>1836</v>
      </c>
      <c r="E6" s="46">
        <v>43239</v>
      </c>
      <c r="F6" s="44">
        <v>887910</v>
      </c>
      <c r="G6" s="45">
        <f>84937*2.2046</f>
        <v>187252.1102</v>
      </c>
      <c r="H6" s="45">
        <v>23463</v>
      </c>
      <c r="I6" s="46">
        <v>480900</v>
      </c>
      <c r="J6" s="44">
        <v>606273</v>
      </c>
      <c r="K6" s="45">
        <f>91269*2.2046</f>
        <v>201211.6374</v>
      </c>
      <c r="L6" s="45">
        <v>53400</v>
      </c>
      <c r="M6" s="46">
        <v>168957</v>
      </c>
      <c r="N6" s="44">
        <v>995003</v>
      </c>
      <c r="O6" s="45">
        <f>78711*2.2046</f>
        <v>173526.27060000002</v>
      </c>
      <c r="P6" s="45">
        <v>135383</v>
      </c>
      <c r="Q6" s="46">
        <v>294954</v>
      </c>
      <c r="R6" s="44">
        <v>818848</v>
      </c>
      <c r="S6" s="45">
        <f>62911*2.2046</f>
        <v>138693.5906</v>
      </c>
      <c r="T6" s="45">
        <v>77837</v>
      </c>
      <c r="U6" s="46">
        <v>271580</v>
      </c>
      <c r="V6" s="44">
        <v>790775</v>
      </c>
      <c r="W6" s="45">
        <f>51674*2.2046</f>
        <v>113920.5004</v>
      </c>
      <c r="X6" s="45">
        <v>59320</v>
      </c>
      <c r="Y6" s="46">
        <v>160650</v>
      </c>
      <c r="Z6" s="44">
        <v>837407</v>
      </c>
      <c r="AA6" s="45">
        <f>56466*2.2046</f>
        <v>124484.94360000001</v>
      </c>
      <c r="AB6" s="45">
        <v>154049</v>
      </c>
      <c r="AC6" s="46">
        <v>322203</v>
      </c>
      <c r="AD6" s="44">
        <v>888624</v>
      </c>
      <c r="AE6" s="45">
        <f>55053*2.2046</f>
        <v>121369.8438</v>
      </c>
      <c r="AF6" s="45">
        <v>183895</v>
      </c>
      <c r="AG6" s="46">
        <v>360299</v>
      </c>
      <c r="AH6" s="44">
        <v>1034325</v>
      </c>
      <c r="AI6" s="45">
        <f>43048*2.2046</f>
        <v>94903.6208</v>
      </c>
      <c r="AJ6" s="45">
        <v>235988</v>
      </c>
      <c r="AK6" s="46">
        <v>324608</v>
      </c>
      <c r="AL6" s="44">
        <v>1078576</v>
      </c>
      <c r="AM6" s="45">
        <f>50439*2.2046</f>
        <v>111197.81940000001</v>
      </c>
      <c r="AN6" s="45">
        <v>126574</v>
      </c>
      <c r="AO6" s="46">
        <v>178206</v>
      </c>
      <c r="AP6" s="44">
        <v>996778</v>
      </c>
      <c r="AQ6" s="45">
        <f>30092*2.2046</f>
        <v>66340.8232</v>
      </c>
      <c r="AR6" s="45">
        <v>83283</v>
      </c>
      <c r="AS6" s="46">
        <v>200487</v>
      </c>
      <c r="AT6" s="44">
        <v>783656</v>
      </c>
      <c r="AU6" s="45">
        <f>27934*2.2046</f>
        <v>61583.29640000001</v>
      </c>
      <c r="AV6" s="45">
        <v>36435</v>
      </c>
      <c r="AW6" s="46">
        <v>245643</v>
      </c>
      <c r="AX6" s="44">
        <v>927956</v>
      </c>
      <c r="AY6" s="45">
        <f>32149*2.2046</f>
        <v>70875.6854</v>
      </c>
      <c r="AZ6" s="45">
        <v>73234</v>
      </c>
      <c r="BA6" s="46">
        <v>135745</v>
      </c>
      <c r="BB6" s="44">
        <v>758439</v>
      </c>
      <c r="BC6" s="45">
        <f>26465*2.2046</f>
        <v>58344.739</v>
      </c>
      <c r="BD6" s="45">
        <v>212219</v>
      </c>
      <c r="BE6" s="46">
        <v>399827</v>
      </c>
      <c r="BF6" s="44">
        <v>586687</v>
      </c>
      <c r="BG6" s="45">
        <v>60907</v>
      </c>
      <c r="BH6" s="45">
        <v>163739</v>
      </c>
      <c r="BI6" s="46">
        <v>288016</v>
      </c>
      <c r="BJ6" s="44">
        <v>630300</v>
      </c>
      <c r="BK6" s="45">
        <v>52771</v>
      </c>
      <c r="BL6" s="45">
        <v>132642</v>
      </c>
      <c r="BM6" s="47">
        <v>574013</v>
      </c>
      <c r="BN6" s="44">
        <v>618767</v>
      </c>
      <c r="BO6" s="45">
        <v>50558</v>
      </c>
      <c r="BP6" s="45">
        <v>88668</v>
      </c>
      <c r="BQ6" s="47">
        <v>297983</v>
      </c>
      <c r="BR6" s="44">
        <v>647201</v>
      </c>
      <c r="BS6" s="45">
        <v>32492</v>
      </c>
      <c r="BT6" s="45">
        <v>96934</v>
      </c>
      <c r="BU6" s="106">
        <v>606741</v>
      </c>
      <c r="BV6" s="129">
        <v>644273</v>
      </c>
      <c r="BW6" s="45">
        <v>97319.24</v>
      </c>
      <c r="BX6" s="45">
        <v>87287</v>
      </c>
      <c r="BY6" s="46">
        <v>454525</v>
      </c>
      <c r="BZ6" s="129">
        <v>671043</v>
      </c>
      <c r="CA6" s="45">
        <v>84649.18</v>
      </c>
      <c r="CB6" s="213">
        <v>143449</v>
      </c>
      <c r="CC6" s="46">
        <f>5313+369875</f>
        <v>375188</v>
      </c>
      <c r="CD6" s="129">
        <v>614572</v>
      </c>
      <c r="CE6" s="45">
        <v>54914.1</v>
      </c>
      <c r="CF6" s="45">
        <v>110863</v>
      </c>
      <c r="CG6" s="219">
        <v>370390</v>
      </c>
      <c r="CH6" s="129">
        <v>713197</v>
      </c>
      <c r="CI6" s="106">
        <v>78858.99</v>
      </c>
      <c r="CJ6" s="45">
        <v>105946</v>
      </c>
      <c r="CK6" s="46">
        <v>420479</v>
      </c>
      <c r="CL6" s="129">
        <v>539700</v>
      </c>
      <c r="CM6" s="45">
        <v>39105.39</v>
      </c>
      <c r="CN6" s="45">
        <v>64679</v>
      </c>
      <c r="CO6" s="46">
        <v>567565</v>
      </c>
    </row>
    <row r="7" spans="1:93" s="2" customFormat="1" ht="12.75" customHeight="1">
      <c r="A7" s="12" t="s">
        <v>10</v>
      </c>
      <c r="B7" s="44">
        <v>556839</v>
      </c>
      <c r="C7" s="45">
        <f>13314*2.2046</f>
        <v>29352.044400000002</v>
      </c>
      <c r="D7" s="45">
        <f>359*2.2046</f>
        <v>791.4514</v>
      </c>
      <c r="E7" s="46">
        <v>26587</v>
      </c>
      <c r="F7" s="44">
        <v>481364</v>
      </c>
      <c r="G7" s="45">
        <f>15702*2.2046</f>
        <v>34616.6292</v>
      </c>
      <c r="H7" s="45">
        <v>0</v>
      </c>
      <c r="I7" s="46">
        <v>41255</v>
      </c>
      <c r="J7" s="44">
        <v>496234</v>
      </c>
      <c r="K7" s="45">
        <f>10615*2.2046</f>
        <v>23401.829</v>
      </c>
      <c r="L7" s="45">
        <v>1817</v>
      </c>
      <c r="M7" s="46">
        <v>70536</v>
      </c>
      <c r="N7" s="44">
        <v>394385</v>
      </c>
      <c r="O7" s="45">
        <f>8126*2.2046</f>
        <v>17914.5796</v>
      </c>
      <c r="P7" s="45">
        <v>2787</v>
      </c>
      <c r="Q7" s="46">
        <f>17263*2.2046</f>
        <v>38058.0098</v>
      </c>
      <c r="R7" s="44">
        <v>266561</v>
      </c>
      <c r="S7" s="45">
        <f>21733*2.2046</f>
        <v>47912.571800000005</v>
      </c>
      <c r="T7" s="45">
        <v>1043</v>
      </c>
      <c r="U7" s="46">
        <v>13148</v>
      </c>
      <c r="V7" s="44">
        <v>277739</v>
      </c>
      <c r="W7" s="45">
        <f>7777*2.2046</f>
        <v>17145.1742</v>
      </c>
      <c r="X7" s="45">
        <f>388*2.2046</f>
        <v>855.3848</v>
      </c>
      <c r="Y7" s="46">
        <v>10549</v>
      </c>
      <c r="Z7" s="44">
        <v>220271</v>
      </c>
      <c r="AA7" s="45">
        <f>13294*2.2046</f>
        <v>29307.952400000002</v>
      </c>
      <c r="AB7" s="45">
        <v>3204</v>
      </c>
      <c r="AC7" s="46">
        <v>56504</v>
      </c>
      <c r="AD7" s="44">
        <v>285663</v>
      </c>
      <c r="AE7" s="45">
        <f>14095*2.2046</f>
        <v>31073.837000000003</v>
      </c>
      <c r="AF7" s="45">
        <v>7000</v>
      </c>
      <c r="AG7" s="46">
        <v>116699</v>
      </c>
      <c r="AH7" s="44">
        <v>340648</v>
      </c>
      <c r="AI7" s="45">
        <f>16099*2.2046</f>
        <v>35491.8554</v>
      </c>
      <c r="AJ7" s="45">
        <v>7747</v>
      </c>
      <c r="AK7" s="46">
        <v>49372</v>
      </c>
      <c r="AL7" s="44">
        <v>385903</v>
      </c>
      <c r="AM7" s="45">
        <f>16011*2.2046</f>
        <v>35297.850600000005</v>
      </c>
      <c r="AN7" s="45">
        <v>9682</v>
      </c>
      <c r="AO7" s="46">
        <v>17212</v>
      </c>
      <c r="AP7" s="44">
        <v>318441</v>
      </c>
      <c r="AQ7" s="45">
        <f>16853*2.2046</f>
        <v>37154.1238</v>
      </c>
      <c r="AR7" s="45">
        <v>29474</v>
      </c>
      <c r="AS7" s="46">
        <v>85418</v>
      </c>
      <c r="AT7" s="44">
        <v>408694</v>
      </c>
      <c r="AU7" s="45">
        <f>25235*2.2046</f>
        <v>55633.081000000006</v>
      </c>
      <c r="AV7" s="45">
        <v>52143</v>
      </c>
      <c r="AW7" s="46">
        <v>62957</v>
      </c>
      <c r="AX7" s="44">
        <v>514114</v>
      </c>
      <c r="AY7" s="45">
        <f>33748*2.2046</f>
        <v>74400.8408</v>
      </c>
      <c r="AZ7" s="45">
        <v>18983</v>
      </c>
      <c r="BA7" s="46">
        <v>142894</v>
      </c>
      <c r="BB7" s="44">
        <v>522251</v>
      </c>
      <c r="BC7" s="45">
        <f>26074*2.2046</f>
        <v>57482.7404</v>
      </c>
      <c r="BD7" s="45">
        <v>33858</v>
      </c>
      <c r="BE7" s="46">
        <v>68824</v>
      </c>
      <c r="BF7" s="44">
        <v>457904</v>
      </c>
      <c r="BG7" s="45">
        <v>40991</v>
      </c>
      <c r="BH7" s="45">
        <v>2167</v>
      </c>
      <c r="BI7" s="46">
        <v>96586</v>
      </c>
      <c r="BJ7" s="44">
        <v>432587</v>
      </c>
      <c r="BK7" s="45">
        <v>39392</v>
      </c>
      <c r="BL7" s="45">
        <v>22704</v>
      </c>
      <c r="BM7" s="47">
        <v>99636</v>
      </c>
      <c r="BN7" s="44">
        <v>486400</v>
      </c>
      <c r="BO7" s="45">
        <v>31784</v>
      </c>
      <c r="BP7" s="45">
        <v>50856</v>
      </c>
      <c r="BQ7" s="47">
        <v>135687</v>
      </c>
      <c r="BR7" s="44">
        <v>415369</v>
      </c>
      <c r="BS7" s="45">
        <v>26663</v>
      </c>
      <c r="BT7" s="45">
        <v>33695</v>
      </c>
      <c r="BU7" s="106">
        <v>98518</v>
      </c>
      <c r="BV7" s="129">
        <v>496786</v>
      </c>
      <c r="BW7" s="45">
        <v>74179.91</v>
      </c>
      <c r="BX7" s="213">
        <v>34996</v>
      </c>
      <c r="BY7" s="46">
        <v>206317</v>
      </c>
      <c r="BZ7" s="129">
        <v>424193</v>
      </c>
      <c r="CA7" s="45">
        <v>75451.98</v>
      </c>
      <c r="CB7" s="213">
        <v>27546</v>
      </c>
      <c r="CC7" s="46">
        <f>2456+178659</f>
        <v>181115</v>
      </c>
      <c r="CD7" s="129">
        <v>469238</v>
      </c>
      <c r="CE7" s="45">
        <v>33244.14</v>
      </c>
      <c r="CF7" s="45">
        <v>53071</v>
      </c>
      <c r="CG7" s="46">
        <f>11669+418393</f>
        <v>430062</v>
      </c>
      <c r="CH7" s="129">
        <v>606358</v>
      </c>
      <c r="CI7" s="106">
        <v>44569.02</v>
      </c>
      <c r="CJ7" s="45">
        <v>91758</v>
      </c>
      <c r="CK7" s="46">
        <v>510777</v>
      </c>
      <c r="CL7" s="129">
        <v>534171</v>
      </c>
      <c r="CM7" s="45">
        <v>20786.02</v>
      </c>
      <c r="CN7" s="45">
        <v>69372</v>
      </c>
      <c r="CO7" s="46">
        <v>1020082</v>
      </c>
    </row>
    <row r="8" spans="1:93" s="2" customFormat="1" ht="11.25" customHeight="1">
      <c r="A8" s="13" t="s">
        <v>11</v>
      </c>
      <c r="B8" s="44">
        <v>3321</v>
      </c>
      <c r="C8" s="45">
        <v>414</v>
      </c>
      <c r="D8" s="45">
        <v>1766</v>
      </c>
      <c r="E8" s="46">
        <v>0</v>
      </c>
      <c r="F8" s="44">
        <v>10983</v>
      </c>
      <c r="G8" s="45">
        <v>2151</v>
      </c>
      <c r="H8" s="45">
        <v>0</v>
      </c>
      <c r="I8" s="46">
        <v>589</v>
      </c>
      <c r="J8" s="44">
        <v>4578</v>
      </c>
      <c r="K8" s="45">
        <v>1366</v>
      </c>
      <c r="L8" s="45">
        <v>90</v>
      </c>
      <c r="M8" s="46">
        <v>3580</v>
      </c>
      <c r="N8" s="44">
        <v>11875</v>
      </c>
      <c r="O8" s="45">
        <v>758</v>
      </c>
      <c r="P8" s="45">
        <v>62</v>
      </c>
      <c r="Q8" s="46">
        <v>0</v>
      </c>
      <c r="R8" s="44">
        <v>29543</v>
      </c>
      <c r="S8" s="45">
        <v>1679</v>
      </c>
      <c r="T8" s="45">
        <v>251</v>
      </c>
      <c r="U8" s="46">
        <v>1371</v>
      </c>
      <c r="V8" s="44">
        <v>16693</v>
      </c>
      <c r="W8" s="45">
        <v>2488</v>
      </c>
      <c r="X8" s="45">
        <v>0</v>
      </c>
      <c r="Y8" s="46">
        <v>0</v>
      </c>
      <c r="Z8" s="44">
        <v>18570</v>
      </c>
      <c r="AA8" s="45">
        <v>2250</v>
      </c>
      <c r="AB8" s="45">
        <v>315</v>
      </c>
      <c r="AC8" s="46">
        <v>2061</v>
      </c>
      <c r="AD8" s="44">
        <v>32479</v>
      </c>
      <c r="AE8" s="45">
        <v>5530</v>
      </c>
      <c r="AF8" s="45">
        <v>1415</v>
      </c>
      <c r="AG8" s="46">
        <v>5609</v>
      </c>
      <c r="AH8" s="44">
        <v>27397</v>
      </c>
      <c r="AI8" s="45">
        <v>1083</v>
      </c>
      <c r="AJ8" s="45">
        <v>1080</v>
      </c>
      <c r="AK8" s="46">
        <v>1184</v>
      </c>
      <c r="AL8" s="44">
        <v>34354</v>
      </c>
      <c r="AM8" s="45">
        <v>2767</v>
      </c>
      <c r="AN8" s="45">
        <v>287</v>
      </c>
      <c r="AO8" s="46">
        <v>3571</v>
      </c>
      <c r="AP8" s="44">
        <v>28696</v>
      </c>
      <c r="AQ8" s="45">
        <v>1735</v>
      </c>
      <c r="AR8" s="45">
        <v>373</v>
      </c>
      <c r="AS8" s="46">
        <v>0</v>
      </c>
      <c r="AT8" s="44">
        <v>26993</v>
      </c>
      <c r="AU8" s="45">
        <v>2265</v>
      </c>
      <c r="AV8" s="45">
        <v>179</v>
      </c>
      <c r="AW8" s="46">
        <v>0</v>
      </c>
      <c r="AX8" s="44">
        <v>23317</v>
      </c>
      <c r="AY8" s="45">
        <v>1772</v>
      </c>
      <c r="AZ8" s="45">
        <v>395</v>
      </c>
      <c r="BA8" s="46">
        <v>2266</v>
      </c>
      <c r="BB8" s="44">
        <v>22237</v>
      </c>
      <c r="BC8" s="45">
        <v>1933</v>
      </c>
      <c r="BD8" s="45">
        <v>212</v>
      </c>
      <c r="BE8" s="46">
        <v>1446</v>
      </c>
      <c r="BF8" s="44">
        <v>19314</v>
      </c>
      <c r="BG8" s="45">
        <v>1476</v>
      </c>
      <c r="BH8" s="45">
        <v>816</v>
      </c>
      <c r="BI8" s="46">
        <v>2709</v>
      </c>
      <c r="BJ8" s="44">
        <v>15047</v>
      </c>
      <c r="BK8" s="45">
        <v>1015</v>
      </c>
      <c r="BL8" s="45">
        <v>328</v>
      </c>
      <c r="BM8" s="47">
        <v>3040</v>
      </c>
      <c r="BN8" s="44">
        <v>18122</v>
      </c>
      <c r="BO8" s="45">
        <v>571</v>
      </c>
      <c r="BP8" s="45">
        <v>1067</v>
      </c>
      <c r="BQ8" s="47">
        <v>0</v>
      </c>
      <c r="BR8" s="44">
        <v>23832</v>
      </c>
      <c r="BS8" s="45">
        <v>685</v>
      </c>
      <c r="BT8" s="45">
        <v>326</v>
      </c>
      <c r="BU8" s="106">
        <v>509</v>
      </c>
      <c r="BV8" s="129">
        <v>18366</v>
      </c>
      <c r="BW8" s="45">
        <v>451.94</v>
      </c>
      <c r="BX8" s="45">
        <v>258</v>
      </c>
      <c r="BY8" s="215">
        <v>8805</v>
      </c>
      <c r="BZ8" s="129">
        <v>14915</v>
      </c>
      <c r="CA8" s="45">
        <v>462</v>
      </c>
      <c r="CB8" s="214">
        <v>207</v>
      </c>
      <c r="CC8" s="46">
        <v>101</v>
      </c>
      <c r="CD8" s="129">
        <v>89684</v>
      </c>
      <c r="CE8" s="45">
        <v>718.28</v>
      </c>
      <c r="CF8" s="45">
        <v>1140</v>
      </c>
      <c r="CG8" s="46">
        <v>1168</v>
      </c>
      <c r="CH8" s="129">
        <v>534171</v>
      </c>
      <c r="CI8" s="106">
        <v>3905.48</v>
      </c>
      <c r="CJ8" s="45">
        <v>106</v>
      </c>
      <c r="CK8" s="46">
        <v>4804</v>
      </c>
      <c r="CL8" s="129">
        <v>173333</v>
      </c>
      <c r="CM8" s="45">
        <v>707.41</v>
      </c>
      <c r="CN8" s="45">
        <v>29</v>
      </c>
      <c r="CO8" s="46">
        <v>6845</v>
      </c>
    </row>
    <row r="9" spans="1:93" s="2" customFormat="1" ht="11.25">
      <c r="A9" s="13" t="s">
        <v>12</v>
      </c>
      <c r="B9" s="44">
        <v>32</v>
      </c>
      <c r="C9" s="45">
        <f>2247.23*2.2046</f>
        <v>4954.243258</v>
      </c>
      <c r="D9" s="45">
        <v>0</v>
      </c>
      <c r="E9" s="46">
        <v>0</v>
      </c>
      <c r="F9" s="44">
        <v>302</v>
      </c>
      <c r="G9" s="45">
        <f>3123.24*2.2046</f>
        <v>6885.494904</v>
      </c>
      <c r="H9" s="45">
        <v>0</v>
      </c>
      <c r="I9" s="46">
        <v>0</v>
      </c>
      <c r="J9" s="44">
        <v>657</v>
      </c>
      <c r="K9" s="45">
        <f>2537.23*2.2046</f>
        <v>5593.577258</v>
      </c>
      <c r="L9" s="45">
        <v>88</v>
      </c>
      <c r="M9" s="46">
        <v>0</v>
      </c>
      <c r="N9" s="44">
        <v>20</v>
      </c>
      <c r="O9" s="45">
        <f>1289.47*2.2046</f>
        <v>2842.765562</v>
      </c>
      <c r="P9" s="45">
        <v>86</v>
      </c>
      <c r="Q9" s="46">
        <v>0</v>
      </c>
      <c r="R9" s="44">
        <v>435</v>
      </c>
      <c r="S9" s="45">
        <f>2379.04*2.2046</f>
        <v>5244.8315840000005</v>
      </c>
      <c r="T9" s="45">
        <v>170</v>
      </c>
      <c r="U9" s="46">
        <v>2266</v>
      </c>
      <c r="V9" s="44">
        <v>729</v>
      </c>
      <c r="W9" s="45">
        <f>1428.27*2.2046</f>
        <v>3148.7640420000002</v>
      </c>
      <c r="X9" s="45">
        <v>55</v>
      </c>
      <c r="Y9" s="46">
        <v>0</v>
      </c>
      <c r="Z9" s="44">
        <v>4135</v>
      </c>
      <c r="AA9" s="45">
        <f>2638.27*2.2046</f>
        <v>5816.3300420000005</v>
      </c>
      <c r="AB9" s="45">
        <v>1027</v>
      </c>
      <c r="AC9" s="46">
        <v>1603</v>
      </c>
      <c r="AD9" s="44">
        <v>10784</v>
      </c>
      <c r="AE9" s="45">
        <f>5994.53*2.2046</f>
        <v>13215.540838</v>
      </c>
      <c r="AF9" s="45">
        <v>3274</v>
      </c>
      <c r="AG9" s="46">
        <v>2974</v>
      </c>
      <c r="AH9" s="44">
        <v>10687</v>
      </c>
      <c r="AI9" s="45">
        <f>2741.45*2.2046</f>
        <v>6043.80067</v>
      </c>
      <c r="AJ9" s="45">
        <v>2044</v>
      </c>
      <c r="AK9" s="46">
        <v>313</v>
      </c>
      <c r="AL9" s="44">
        <v>8334</v>
      </c>
      <c r="AM9" s="45">
        <f>3363.7*2.2046</f>
        <v>7415.61302</v>
      </c>
      <c r="AN9" s="45">
        <v>121</v>
      </c>
      <c r="AO9" s="46">
        <v>955</v>
      </c>
      <c r="AP9" s="44">
        <v>14707</v>
      </c>
      <c r="AQ9" s="45">
        <f>2990.9*2.2046</f>
        <v>6593.73814</v>
      </c>
      <c r="AR9" s="45">
        <v>0</v>
      </c>
      <c r="AS9" s="46">
        <v>1334</v>
      </c>
      <c r="AT9" s="44">
        <v>21271</v>
      </c>
      <c r="AU9" s="45">
        <f>5129.73*2.2046</f>
        <v>11309.002757999999</v>
      </c>
      <c r="AV9" s="45">
        <v>1411</v>
      </c>
      <c r="AW9" s="46">
        <v>2086</v>
      </c>
      <c r="AX9" s="44">
        <v>17266</v>
      </c>
      <c r="AY9" s="45">
        <f>4122.99*2.2046</f>
        <v>9089.543754</v>
      </c>
      <c r="AZ9" s="45">
        <v>368</v>
      </c>
      <c r="BA9" s="46">
        <v>1332</v>
      </c>
      <c r="BB9" s="44">
        <v>26282</v>
      </c>
      <c r="BC9" s="45">
        <f>3422.37*2.2046</f>
        <v>7544.956902</v>
      </c>
      <c r="BD9" s="45">
        <v>0</v>
      </c>
      <c r="BE9" s="46">
        <v>139</v>
      </c>
      <c r="BF9" s="44">
        <v>26204</v>
      </c>
      <c r="BG9" s="45">
        <v>5596</v>
      </c>
      <c r="BH9" s="45">
        <v>0</v>
      </c>
      <c r="BI9" s="46">
        <v>644</v>
      </c>
      <c r="BJ9" s="44">
        <v>21854</v>
      </c>
      <c r="BK9" s="45">
        <f>2696.17*2.2046</f>
        <v>5943.976382000001</v>
      </c>
      <c r="BL9" s="45">
        <v>500</v>
      </c>
      <c r="BM9" s="47">
        <v>1598</v>
      </c>
      <c r="BN9" s="44">
        <v>21753</v>
      </c>
      <c r="BO9" s="45">
        <v>5334</v>
      </c>
      <c r="BP9" s="45">
        <v>2207</v>
      </c>
      <c r="BQ9" s="47">
        <v>459</v>
      </c>
      <c r="BR9" s="44">
        <v>25046</v>
      </c>
      <c r="BS9" s="45">
        <v>4413</v>
      </c>
      <c r="BT9" s="45">
        <v>1243</v>
      </c>
      <c r="BU9" s="106">
        <v>0</v>
      </c>
      <c r="BV9" s="129">
        <v>20832</v>
      </c>
      <c r="BW9" s="45">
        <v>7610.23</v>
      </c>
      <c r="BX9" s="213">
        <v>2310</v>
      </c>
      <c r="BY9" s="215">
        <v>5190</v>
      </c>
      <c r="BZ9" s="129">
        <v>17369</v>
      </c>
      <c r="CA9" s="45">
        <v>7713</v>
      </c>
      <c r="CB9" s="214">
        <v>783</v>
      </c>
      <c r="CC9" s="46">
        <v>7184</v>
      </c>
      <c r="CD9" s="129">
        <v>30615</v>
      </c>
      <c r="CE9" s="45">
        <v>4539.13</v>
      </c>
      <c r="CF9" s="45">
        <v>1373</v>
      </c>
      <c r="CG9" s="46">
        <v>1918</v>
      </c>
      <c r="CH9" s="129">
        <v>20519</v>
      </c>
      <c r="CI9" s="106">
        <v>12401.6</v>
      </c>
      <c r="CJ9" s="45">
        <v>342</v>
      </c>
      <c r="CK9" s="46">
        <v>12190</v>
      </c>
      <c r="CL9" s="129">
        <v>22114</v>
      </c>
      <c r="CM9" s="45">
        <v>3773.16</v>
      </c>
      <c r="CN9" s="45">
        <v>218</v>
      </c>
      <c r="CO9" s="46">
        <v>2705</v>
      </c>
    </row>
    <row r="10" spans="1:93" s="2" customFormat="1" ht="22.5">
      <c r="A10" s="13" t="s">
        <v>14</v>
      </c>
      <c r="B10" s="44"/>
      <c r="C10" s="45">
        <f>96.92*2.2046</f>
        <v>213.669832</v>
      </c>
      <c r="D10" s="45">
        <v>0</v>
      </c>
      <c r="E10" s="46">
        <v>0</v>
      </c>
      <c r="F10" s="44"/>
      <c r="G10" s="45">
        <f>119.03*2.2046</f>
        <v>262.413538</v>
      </c>
      <c r="H10" s="45">
        <v>0</v>
      </c>
      <c r="I10" s="46">
        <v>0</v>
      </c>
      <c r="J10" s="44"/>
      <c r="K10" s="45">
        <f>149.3*2.2046</f>
        <v>329.14678000000004</v>
      </c>
      <c r="L10" s="45">
        <v>126</v>
      </c>
      <c r="M10" s="46">
        <v>0</v>
      </c>
      <c r="N10" s="44"/>
      <c r="O10" s="45">
        <f>198.32*2.2046</f>
        <v>437.216272</v>
      </c>
      <c r="P10" s="45">
        <v>99</v>
      </c>
      <c r="Q10" s="46">
        <v>0</v>
      </c>
      <c r="R10" s="44"/>
      <c r="S10" s="45">
        <f>463.23*2.2046</f>
        <v>1021.2368580000001</v>
      </c>
      <c r="T10" s="45">
        <v>0</v>
      </c>
      <c r="U10" s="46">
        <v>0</v>
      </c>
      <c r="V10" s="44">
        <v>86</v>
      </c>
      <c r="W10" s="45">
        <f>63.87*2.2046</f>
        <v>140.807802</v>
      </c>
      <c r="X10" s="45">
        <v>0</v>
      </c>
      <c r="Y10" s="46">
        <v>560</v>
      </c>
      <c r="Z10" s="44"/>
      <c r="AA10" s="45">
        <f>177.46*2.2046</f>
        <v>391.22831600000006</v>
      </c>
      <c r="AB10" s="45">
        <v>571</v>
      </c>
      <c r="AC10" s="46">
        <v>2350</v>
      </c>
      <c r="AD10" s="44"/>
      <c r="AE10" s="45">
        <f>171.07*2.2046</f>
        <v>377.140922</v>
      </c>
      <c r="AF10" s="45">
        <v>0</v>
      </c>
      <c r="AG10" s="46">
        <v>0</v>
      </c>
      <c r="AH10" s="44">
        <v>12</v>
      </c>
      <c r="AI10" s="45">
        <f>387.91*2.2046</f>
        <v>855.1863860000001</v>
      </c>
      <c r="AJ10" s="45">
        <v>0</v>
      </c>
      <c r="AK10" s="46">
        <v>0</v>
      </c>
      <c r="AL10" s="44">
        <v>18</v>
      </c>
      <c r="AM10" s="45">
        <f>294.26*2.2046</f>
        <v>648.725596</v>
      </c>
      <c r="AN10" s="45">
        <v>0</v>
      </c>
      <c r="AO10" s="46">
        <v>0</v>
      </c>
      <c r="AP10" s="44">
        <v>11</v>
      </c>
      <c r="AQ10" s="45">
        <f>180.67*2.2046</f>
        <v>398.30508199999997</v>
      </c>
      <c r="AR10" s="45">
        <v>0</v>
      </c>
      <c r="AS10" s="46">
        <v>0</v>
      </c>
      <c r="AT10" s="44">
        <v>2</v>
      </c>
      <c r="AU10" s="45">
        <f>221.06*2.2046</f>
        <v>487.348876</v>
      </c>
      <c r="AV10" s="45">
        <v>0</v>
      </c>
      <c r="AW10" s="46">
        <v>0</v>
      </c>
      <c r="AX10" s="44">
        <v>155</v>
      </c>
      <c r="AY10" s="45">
        <f>453*2.2046</f>
        <v>998.6838</v>
      </c>
      <c r="AZ10" s="45">
        <v>0</v>
      </c>
      <c r="BA10" s="46">
        <v>0</v>
      </c>
      <c r="BB10" s="44">
        <v>18</v>
      </c>
      <c r="BC10" s="45">
        <f>502.95*2.2046</f>
        <v>1108.80357</v>
      </c>
      <c r="BD10" s="45">
        <v>0</v>
      </c>
      <c r="BE10" s="46">
        <v>0</v>
      </c>
      <c r="BF10" s="44">
        <v>4</v>
      </c>
      <c r="BG10" s="45">
        <f>225.99*2.2046</f>
        <v>498.21755400000006</v>
      </c>
      <c r="BH10" s="45">
        <v>0</v>
      </c>
      <c r="BI10" s="46">
        <v>0</v>
      </c>
      <c r="BJ10" s="44"/>
      <c r="BK10" s="45">
        <f>139.8*2.2046</f>
        <v>308.20308000000006</v>
      </c>
      <c r="BL10" s="45">
        <v>0</v>
      </c>
      <c r="BM10" s="47">
        <v>0</v>
      </c>
      <c r="BN10" s="44">
        <v>0</v>
      </c>
      <c r="BO10" s="45">
        <v>265</v>
      </c>
      <c r="BP10" s="45">
        <v>0</v>
      </c>
      <c r="BQ10" s="47">
        <v>0</v>
      </c>
      <c r="BR10" s="44">
        <v>744</v>
      </c>
      <c r="BS10" s="45">
        <v>307</v>
      </c>
      <c r="BT10" s="45">
        <v>271</v>
      </c>
      <c r="BU10" s="106">
        <v>0</v>
      </c>
      <c r="BV10" s="129">
        <v>50</v>
      </c>
      <c r="BW10" s="45">
        <v>1435.19</v>
      </c>
      <c r="BX10" s="214">
        <v>370</v>
      </c>
      <c r="BY10" s="215">
        <v>2346</v>
      </c>
      <c r="BZ10" s="129">
        <v>46</v>
      </c>
      <c r="CA10" s="45">
        <v>2047</v>
      </c>
      <c r="CB10" s="45">
        <v>403</v>
      </c>
      <c r="CC10" s="46">
        <v>2923</v>
      </c>
      <c r="CD10" s="129">
        <v>86</v>
      </c>
      <c r="CE10" s="45">
        <v>1018.78</v>
      </c>
      <c r="CF10" s="45">
        <v>0</v>
      </c>
      <c r="CG10" s="46">
        <v>0</v>
      </c>
      <c r="CH10" s="129">
        <v>0</v>
      </c>
      <c r="CI10" s="106">
        <v>2030</v>
      </c>
      <c r="CJ10" s="45">
        <v>1944</v>
      </c>
      <c r="CK10" s="46">
        <v>7061</v>
      </c>
      <c r="CL10" s="129">
        <v>169</v>
      </c>
      <c r="CM10" s="45">
        <v>341.18</v>
      </c>
      <c r="CN10" s="45">
        <v>0</v>
      </c>
      <c r="CO10" s="46">
        <v>0</v>
      </c>
    </row>
    <row r="11" spans="1:93" s="52" customFormat="1" ht="11.25">
      <c r="A11" s="14" t="s">
        <v>15</v>
      </c>
      <c r="B11" s="48"/>
      <c r="C11" s="49"/>
      <c r="D11" s="49">
        <v>0</v>
      </c>
      <c r="E11" s="50">
        <v>0</v>
      </c>
      <c r="F11" s="48"/>
      <c r="G11" s="49">
        <f>27.22*2.2046</f>
        <v>60.009212</v>
      </c>
      <c r="H11" s="49">
        <v>0</v>
      </c>
      <c r="I11" s="50">
        <v>0</v>
      </c>
      <c r="J11" s="48"/>
      <c r="K11" s="49"/>
      <c r="L11" s="49">
        <v>0</v>
      </c>
      <c r="M11" s="50">
        <v>0</v>
      </c>
      <c r="N11" s="48"/>
      <c r="O11" s="49"/>
      <c r="P11" s="49">
        <v>0</v>
      </c>
      <c r="Q11" s="50">
        <v>0</v>
      </c>
      <c r="R11" s="48"/>
      <c r="S11" s="49"/>
      <c r="T11" s="49">
        <v>0</v>
      </c>
      <c r="U11" s="50">
        <v>0</v>
      </c>
      <c r="V11" s="48"/>
      <c r="W11" s="49"/>
      <c r="X11" s="45">
        <v>0</v>
      </c>
      <c r="Y11" s="50">
        <v>0</v>
      </c>
      <c r="Z11" s="48"/>
      <c r="AA11" s="49"/>
      <c r="AB11" s="49">
        <v>0</v>
      </c>
      <c r="AC11" s="50">
        <v>0</v>
      </c>
      <c r="AD11" s="48"/>
      <c r="AE11" s="49"/>
      <c r="AF11" s="49">
        <v>0</v>
      </c>
      <c r="AG11" s="50">
        <v>0</v>
      </c>
      <c r="AH11" s="48"/>
      <c r="AI11" s="49"/>
      <c r="AJ11" s="49">
        <v>0</v>
      </c>
      <c r="AK11" s="50">
        <v>0</v>
      </c>
      <c r="AL11" s="48"/>
      <c r="AM11" s="49"/>
      <c r="AN11" s="49">
        <v>0</v>
      </c>
      <c r="AO11" s="50">
        <v>0</v>
      </c>
      <c r="AP11" s="48"/>
      <c r="AQ11" s="49"/>
      <c r="AR11" s="49">
        <v>0</v>
      </c>
      <c r="AS11" s="50">
        <v>0</v>
      </c>
      <c r="AT11" s="48"/>
      <c r="AU11" s="49"/>
      <c r="AV11" s="49">
        <v>0</v>
      </c>
      <c r="AW11" s="50">
        <v>0</v>
      </c>
      <c r="AX11" s="48"/>
      <c r="AY11" s="49"/>
      <c r="AZ11" s="49">
        <v>0</v>
      </c>
      <c r="BA11" s="50">
        <v>0</v>
      </c>
      <c r="BB11" s="48"/>
      <c r="BC11" s="49"/>
      <c r="BD11" s="49">
        <v>0</v>
      </c>
      <c r="BE11" s="50">
        <v>0</v>
      </c>
      <c r="BF11" s="48"/>
      <c r="BG11" s="49"/>
      <c r="BH11" s="49">
        <v>0</v>
      </c>
      <c r="BI11" s="50">
        <v>0</v>
      </c>
      <c r="BJ11" s="48"/>
      <c r="BK11" s="49"/>
      <c r="BL11" s="49">
        <v>0</v>
      </c>
      <c r="BM11" s="51">
        <v>0</v>
      </c>
      <c r="BN11" s="48">
        <v>0</v>
      </c>
      <c r="BO11" s="49">
        <v>0</v>
      </c>
      <c r="BP11" s="49">
        <v>0</v>
      </c>
      <c r="BQ11" s="51">
        <v>0</v>
      </c>
      <c r="BR11" s="48">
        <v>0</v>
      </c>
      <c r="BS11" s="49">
        <v>0</v>
      </c>
      <c r="BT11" s="49">
        <v>0</v>
      </c>
      <c r="BU11" s="120">
        <v>0</v>
      </c>
      <c r="BV11" s="116">
        <v>0</v>
      </c>
      <c r="BW11" s="49">
        <v>0</v>
      </c>
      <c r="BX11" s="49">
        <v>0</v>
      </c>
      <c r="BY11" s="50">
        <v>0</v>
      </c>
      <c r="BZ11" s="116">
        <v>0</v>
      </c>
      <c r="CA11" s="49">
        <v>0</v>
      </c>
      <c r="CB11" s="49">
        <v>0</v>
      </c>
      <c r="CC11" s="50">
        <v>0</v>
      </c>
      <c r="CD11" s="116">
        <v>0</v>
      </c>
      <c r="CE11" s="49">
        <v>0</v>
      </c>
      <c r="CF11" s="49">
        <v>0</v>
      </c>
      <c r="CG11" s="50">
        <v>0</v>
      </c>
      <c r="CH11" s="116">
        <v>0</v>
      </c>
      <c r="CI11" s="120">
        <v>0</v>
      </c>
      <c r="CJ11" s="49">
        <v>0</v>
      </c>
      <c r="CK11" s="50">
        <v>0</v>
      </c>
      <c r="CL11" s="116">
        <v>0</v>
      </c>
      <c r="CM11" s="49">
        <v>0</v>
      </c>
      <c r="CN11" s="49">
        <v>0</v>
      </c>
      <c r="CO11" s="50">
        <v>0</v>
      </c>
    </row>
    <row r="12" spans="1:93" s="2" customFormat="1" ht="11.25">
      <c r="A12" s="13" t="s">
        <v>13</v>
      </c>
      <c r="B12" s="44">
        <v>514347</v>
      </c>
      <c r="C12" s="45">
        <f>6774*2.2046</f>
        <v>14933.9604</v>
      </c>
      <c r="D12" s="45">
        <v>0</v>
      </c>
      <c r="E12" s="46">
        <v>88224</v>
      </c>
      <c r="F12" s="44">
        <v>615193</v>
      </c>
      <c r="G12" s="45">
        <f>12018*2.2046</f>
        <v>26494.882800000003</v>
      </c>
      <c r="H12" s="45">
        <v>0</v>
      </c>
      <c r="I12" s="46">
        <v>74559</v>
      </c>
      <c r="J12" s="44">
        <v>421872</v>
      </c>
      <c r="K12" s="45">
        <f>9353*2.2046</f>
        <v>20619.6238</v>
      </c>
      <c r="L12" s="45">
        <v>0</v>
      </c>
      <c r="M12" s="46">
        <v>0</v>
      </c>
      <c r="N12" s="44">
        <v>424741</v>
      </c>
      <c r="O12" s="45">
        <f>2659*2.2046</f>
        <v>5862.031400000001</v>
      </c>
      <c r="P12" s="45">
        <f>940*2.2046</f>
        <v>2072.324</v>
      </c>
      <c r="Q12" s="46">
        <v>254158</v>
      </c>
      <c r="R12" s="44">
        <v>301594</v>
      </c>
      <c r="S12" s="45">
        <f>1547*2.2046</f>
        <v>3410.5162</v>
      </c>
      <c r="T12" s="45">
        <f>0*2.2046</f>
        <v>0</v>
      </c>
      <c r="U12" s="46">
        <v>0</v>
      </c>
      <c r="V12" s="44">
        <v>216865</v>
      </c>
      <c r="W12" s="45">
        <f>2025*2.2046</f>
        <v>4464.3150000000005</v>
      </c>
      <c r="X12" s="45">
        <f>0*2.2046</f>
        <v>0</v>
      </c>
      <c r="Y12" s="46">
        <v>0</v>
      </c>
      <c r="Z12" s="44">
        <v>267342</v>
      </c>
      <c r="AA12" s="45">
        <f>3959*2.2046</f>
        <v>8728.011400000001</v>
      </c>
      <c r="AB12" s="45">
        <v>11557</v>
      </c>
      <c r="AC12" s="46">
        <v>47467</v>
      </c>
      <c r="AD12" s="44">
        <v>283425</v>
      </c>
      <c r="AE12" s="45">
        <f>5760*2.2046</f>
        <v>12698.496000000001</v>
      </c>
      <c r="AF12" s="45">
        <f>0*2.2046</f>
        <v>0</v>
      </c>
      <c r="AG12" s="46">
        <f>0*2.2046</f>
        <v>0</v>
      </c>
      <c r="AH12" s="44">
        <v>244887</v>
      </c>
      <c r="AI12" s="45">
        <f>4966*2.2046</f>
        <v>10948.0436</v>
      </c>
      <c r="AJ12" s="45">
        <f>0*2.2046</f>
        <v>0</v>
      </c>
      <c r="AK12" s="46">
        <v>26709</v>
      </c>
      <c r="AL12" s="44">
        <v>235048</v>
      </c>
      <c r="AM12" s="45">
        <f>3362*2.2046</f>
        <v>7411.8652</v>
      </c>
      <c r="AN12" s="45">
        <f>0*2.2046</f>
        <v>0</v>
      </c>
      <c r="AO12" s="46">
        <v>38748</v>
      </c>
      <c r="AP12" s="44">
        <v>209995</v>
      </c>
      <c r="AQ12" s="45">
        <f>4785*2.2046</f>
        <v>10549.011</v>
      </c>
      <c r="AR12" s="45">
        <v>5388</v>
      </c>
      <c r="AS12" s="46">
        <v>143185</v>
      </c>
      <c r="AT12" s="44">
        <v>189066</v>
      </c>
      <c r="AU12" s="45">
        <f>3213*2.2046</f>
        <v>7083.379800000001</v>
      </c>
      <c r="AV12" s="45">
        <v>18598</v>
      </c>
      <c r="AW12" s="46">
        <v>58129</v>
      </c>
      <c r="AX12" s="44">
        <v>187961</v>
      </c>
      <c r="AY12" s="45">
        <f>3685*2.2046</f>
        <v>8123.951</v>
      </c>
      <c r="AZ12" s="45">
        <f>6073*2.2046</f>
        <v>13388.535800000001</v>
      </c>
      <c r="BA12" s="46">
        <v>84999</v>
      </c>
      <c r="BB12" s="44">
        <v>138081</v>
      </c>
      <c r="BC12" s="45">
        <f>4193*2.2046</f>
        <v>9243.8878</v>
      </c>
      <c r="BD12" s="45">
        <v>31001</v>
      </c>
      <c r="BE12" s="46">
        <v>8040</v>
      </c>
      <c r="BF12" s="44">
        <v>154620</v>
      </c>
      <c r="BG12" s="45">
        <f>4701*2.2046</f>
        <v>10363.8246</v>
      </c>
      <c r="BH12" s="45">
        <v>18433</v>
      </c>
      <c r="BI12" s="46">
        <v>25582</v>
      </c>
      <c r="BJ12" s="44">
        <v>180489</v>
      </c>
      <c r="BK12" s="45">
        <f>3420*2.2046</f>
        <v>7539.732</v>
      </c>
      <c r="BL12" s="45">
        <v>20058</v>
      </c>
      <c r="BM12" s="47">
        <f>30852*2.2046</f>
        <v>68016.3192</v>
      </c>
      <c r="BN12" s="44">
        <v>207543</v>
      </c>
      <c r="BO12" s="45">
        <v>7574</v>
      </c>
      <c r="BP12" s="45">
        <v>6297</v>
      </c>
      <c r="BQ12" s="47">
        <v>18547</v>
      </c>
      <c r="BR12" s="44">
        <v>216042</v>
      </c>
      <c r="BS12" s="45">
        <v>7580</v>
      </c>
      <c r="BT12" s="45">
        <v>5697</v>
      </c>
      <c r="BU12" s="106">
        <v>17871</v>
      </c>
      <c r="BV12" s="129">
        <v>244475</v>
      </c>
      <c r="BW12" s="45">
        <v>14340.83</v>
      </c>
      <c r="BX12" s="214">
        <v>690</v>
      </c>
      <c r="BY12" s="215">
        <v>22291</v>
      </c>
      <c r="BZ12" s="129">
        <v>208225</v>
      </c>
      <c r="CA12" s="45">
        <v>22911.93</v>
      </c>
      <c r="CB12" s="213">
        <v>3236</v>
      </c>
      <c r="CC12" s="215">
        <v>60007</v>
      </c>
      <c r="CD12" s="129">
        <v>183047</v>
      </c>
      <c r="CE12" s="45">
        <v>16470.77</v>
      </c>
      <c r="CF12" s="49">
        <v>0</v>
      </c>
      <c r="CG12" s="215">
        <v>19484</v>
      </c>
      <c r="CH12" s="129">
        <v>153038</v>
      </c>
      <c r="CI12" s="106">
        <v>17403.64</v>
      </c>
      <c r="CJ12" s="45">
        <v>2888</v>
      </c>
      <c r="CK12" s="46">
        <v>44149</v>
      </c>
      <c r="CL12" s="129">
        <v>76107</v>
      </c>
      <c r="CM12" s="45">
        <v>3164.46</v>
      </c>
      <c r="CN12" s="45">
        <v>2892</v>
      </c>
      <c r="CO12" s="46">
        <v>34500</v>
      </c>
    </row>
    <row r="13" spans="1:93" s="2" customFormat="1" ht="11.25">
      <c r="A13" s="13" t="s">
        <v>16</v>
      </c>
      <c r="B13" s="44">
        <v>28587</v>
      </c>
      <c r="C13" s="45">
        <f>596.47*2.2046</f>
        <v>1314.9777620000002</v>
      </c>
      <c r="D13" s="45">
        <v>0</v>
      </c>
      <c r="E13" s="46">
        <v>0</v>
      </c>
      <c r="F13" s="44">
        <v>4396</v>
      </c>
      <c r="G13" s="45">
        <f>87.75*2.2046</f>
        <v>193.45365</v>
      </c>
      <c r="H13" s="45">
        <v>0</v>
      </c>
      <c r="I13" s="46">
        <v>0</v>
      </c>
      <c r="J13" s="44">
        <v>1852</v>
      </c>
      <c r="K13" s="45">
        <f>222.7*2.2046</f>
        <v>490.96442</v>
      </c>
      <c r="L13" s="45">
        <v>0</v>
      </c>
      <c r="M13" s="46">
        <v>0</v>
      </c>
      <c r="N13" s="44">
        <v>890</v>
      </c>
      <c r="O13" s="45">
        <f>91.57*2.2046</f>
        <v>201.875222</v>
      </c>
      <c r="P13" s="45">
        <v>0</v>
      </c>
      <c r="Q13" s="46">
        <v>39323</v>
      </c>
      <c r="R13" s="44">
        <v>3681</v>
      </c>
      <c r="S13" s="45">
        <f>412.08*2.2046</f>
        <v>908.471568</v>
      </c>
      <c r="T13" s="45">
        <v>0</v>
      </c>
      <c r="U13" s="46">
        <v>0</v>
      </c>
      <c r="V13" s="44">
        <v>3349</v>
      </c>
      <c r="W13" s="45">
        <f>19.16*2.2046</f>
        <v>42.240136</v>
      </c>
      <c r="X13" s="45">
        <v>0</v>
      </c>
      <c r="Y13" s="46">
        <v>0</v>
      </c>
      <c r="Z13" s="44">
        <v>11086</v>
      </c>
      <c r="AA13" s="45">
        <f>233.37*2.2046</f>
        <v>514.4875020000001</v>
      </c>
      <c r="AB13" s="45">
        <v>0</v>
      </c>
      <c r="AC13" s="46">
        <v>0</v>
      </c>
      <c r="AD13" s="44">
        <v>3045</v>
      </c>
      <c r="AE13" s="45">
        <f>335.51*2.2046</f>
        <v>739.665346</v>
      </c>
      <c r="AF13" s="45">
        <v>0</v>
      </c>
      <c r="AG13" s="46">
        <v>0</v>
      </c>
      <c r="AH13" s="44">
        <v>3837</v>
      </c>
      <c r="AI13" s="45">
        <f>319.27*2.2046</f>
        <v>703.862642</v>
      </c>
      <c r="AJ13" s="45">
        <v>0</v>
      </c>
      <c r="AK13" s="46">
        <v>0</v>
      </c>
      <c r="AL13" s="44">
        <v>5027</v>
      </c>
      <c r="AM13" s="45">
        <f>187.13*2.2046</f>
        <v>412.546798</v>
      </c>
      <c r="AN13" s="45">
        <v>0</v>
      </c>
      <c r="AO13" s="46">
        <v>0</v>
      </c>
      <c r="AP13" s="44">
        <v>7246</v>
      </c>
      <c r="AQ13" s="45">
        <f>262.79*2.2046</f>
        <v>579.3468340000001</v>
      </c>
      <c r="AR13" s="45">
        <v>0</v>
      </c>
      <c r="AS13" s="46">
        <v>5046</v>
      </c>
      <c r="AT13" s="44">
        <v>3622</v>
      </c>
      <c r="AU13" s="45">
        <f>311.11*2.2046</f>
        <v>685.8731060000001</v>
      </c>
      <c r="AV13" s="45">
        <v>0</v>
      </c>
      <c r="AW13" s="46">
        <v>0</v>
      </c>
      <c r="AX13" s="44">
        <v>1237</v>
      </c>
      <c r="AY13" s="45">
        <f>147.07*2.2046</f>
        <v>324.230522</v>
      </c>
      <c r="AZ13" s="45">
        <v>0</v>
      </c>
      <c r="BA13" s="46">
        <v>0</v>
      </c>
      <c r="BB13" s="44">
        <v>3647</v>
      </c>
      <c r="BC13" s="45">
        <f>15.92*2.2046</f>
        <v>35.097232</v>
      </c>
      <c r="BD13" s="45">
        <v>0</v>
      </c>
      <c r="BE13" s="46">
        <v>0</v>
      </c>
      <c r="BF13" s="44">
        <v>2533</v>
      </c>
      <c r="BG13" s="45">
        <f>176.45*2.2046</f>
        <v>389.00167</v>
      </c>
      <c r="BH13" s="45">
        <v>0</v>
      </c>
      <c r="BI13" s="46">
        <v>0</v>
      </c>
      <c r="BJ13" s="44">
        <v>3222</v>
      </c>
      <c r="BK13" s="45">
        <f>128*2.2046</f>
        <v>282.1888</v>
      </c>
      <c r="BL13" s="45">
        <v>0</v>
      </c>
      <c r="BM13" s="47">
        <v>0</v>
      </c>
      <c r="BN13" s="44">
        <v>2339</v>
      </c>
      <c r="BO13" s="45">
        <v>496</v>
      </c>
      <c r="BP13" s="45">
        <v>0</v>
      </c>
      <c r="BQ13" s="47">
        <v>3128</v>
      </c>
      <c r="BR13" s="44">
        <v>5128</v>
      </c>
      <c r="BS13" s="45">
        <v>197</v>
      </c>
      <c r="BT13" s="45">
        <v>0</v>
      </c>
      <c r="BU13" s="106">
        <v>0</v>
      </c>
      <c r="BV13" s="129">
        <v>8597</v>
      </c>
      <c r="BW13" s="45">
        <v>659.17</v>
      </c>
      <c r="BX13" s="45">
        <v>0</v>
      </c>
      <c r="BY13" s="46">
        <v>0</v>
      </c>
      <c r="BZ13" s="129">
        <v>3104</v>
      </c>
      <c r="CA13" s="45">
        <v>712</v>
      </c>
      <c r="CB13" s="45">
        <v>0</v>
      </c>
      <c r="CC13" s="46">
        <v>0</v>
      </c>
      <c r="CD13" s="129">
        <v>9312</v>
      </c>
      <c r="CE13" s="45">
        <v>891.53</v>
      </c>
      <c r="CF13" s="45">
        <v>0</v>
      </c>
      <c r="CG13" s="215">
        <v>33287</v>
      </c>
      <c r="CH13" s="129">
        <v>7336</v>
      </c>
      <c r="CI13" s="106">
        <v>1629.32</v>
      </c>
      <c r="CJ13" s="45">
        <v>0</v>
      </c>
      <c r="CK13" s="46">
        <v>0</v>
      </c>
      <c r="CL13" s="129">
        <v>3858</v>
      </c>
      <c r="CM13" s="45">
        <v>190.75</v>
      </c>
      <c r="CN13" s="45">
        <v>0</v>
      </c>
      <c r="CO13" s="46">
        <v>0</v>
      </c>
    </row>
    <row r="14" spans="1:93" s="52" customFormat="1" ht="11.25">
      <c r="A14" s="30" t="s">
        <v>47</v>
      </c>
      <c r="B14" s="48"/>
      <c r="C14" s="49">
        <f>306.68*2.2046</f>
        <v>676.1067280000001</v>
      </c>
      <c r="D14" s="49">
        <v>0</v>
      </c>
      <c r="E14" s="50">
        <v>0</v>
      </c>
      <c r="F14" s="48">
        <v>4</v>
      </c>
      <c r="G14" s="49">
        <f>162.38*2.2046</f>
        <v>357.982948</v>
      </c>
      <c r="H14" s="49">
        <v>0</v>
      </c>
      <c r="I14" s="50">
        <v>0</v>
      </c>
      <c r="J14" s="48"/>
      <c r="K14" s="49">
        <f>210.94*2.2046</f>
        <v>465.03832400000005</v>
      </c>
      <c r="L14" s="49">
        <v>55</v>
      </c>
      <c r="M14" s="50">
        <v>0</v>
      </c>
      <c r="N14" s="48"/>
      <c r="O14" s="49">
        <f>237.77*2.2046</f>
        <v>524.1877420000001</v>
      </c>
      <c r="P14" s="49">
        <v>0</v>
      </c>
      <c r="Q14" s="50">
        <v>0</v>
      </c>
      <c r="R14" s="48"/>
      <c r="S14" s="49">
        <f>413.81*2.2046</f>
        <v>912.285526</v>
      </c>
      <c r="T14" s="49">
        <v>0</v>
      </c>
      <c r="U14" s="50">
        <v>0</v>
      </c>
      <c r="V14" s="48">
        <v>7173</v>
      </c>
      <c r="W14" s="49">
        <f>145.77*2.2046</f>
        <v>321.36454200000003</v>
      </c>
      <c r="X14" s="49">
        <v>0</v>
      </c>
      <c r="Y14" s="50">
        <v>0</v>
      </c>
      <c r="Z14" s="48">
        <v>9250</v>
      </c>
      <c r="AA14" s="49">
        <f>733.85*2.2046</f>
        <v>1617.84571</v>
      </c>
      <c r="AB14" s="49">
        <v>106</v>
      </c>
      <c r="AC14" s="50">
        <v>2518</v>
      </c>
      <c r="AD14" s="48">
        <v>13950</v>
      </c>
      <c r="AE14" s="49">
        <f>1463.28*2.2046</f>
        <v>3225.947088</v>
      </c>
      <c r="AF14" s="49">
        <v>562</v>
      </c>
      <c r="AG14" s="50">
        <v>926</v>
      </c>
      <c r="AH14" s="48">
        <v>5773</v>
      </c>
      <c r="AI14" s="49">
        <f>1165.34*2.2046</f>
        <v>2569.108564</v>
      </c>
      <c r="AJ14" s="49">
        <v>271</v>
      </c>
      <c r="AK14" s="50">
        <v>487</v>
      </c>
      <c r="AL14" s="48">
        <v>2253</v>
      </c>
      <c r="AM14" s="49">
        <f>1065.32*2.2046</f>
        <v>2348.604472</v>
      </c>
      <c r="AN14" s="49">
        <v>0</v>
      </c>
      <c r="AO14" s="50">
        <v>0</v>
      </c>
      <c r="AP14" s="48">
        <v>5826</v>
      </c>
      <c r="AQ14" s="49">
        <f>1845.15*2.2046</f>
        <v>4067.8176900000003</v>
      </c>
      <c r="AR14" s="49">
        <v>0</v>
      </c>
      <c r="AS14" s="50">
        <v>941</v>
      </c>
      <c r="AT14" s="48">
        <v>2170</v>
      </c>
      <c r="AU14" s="49">
        <f>2733.64*2.2046</f>
        <v>6026.582744</v>
      </c>
      <c r="AV14" s="49">
        <v>0</v>
      </c>
      <c r="AW14" s="50">
        <v>0</v>
      </c>
      <c r="AX14" s="48">
        <v>2728</v>
      </c>
      <c r="AY14" s="49">
        <f>1697.77*2.2046</f>
        <v>3742.903742</v>
      </c>
      <c r="AZ14" s="49">
        <v>3062</v>
      </c>
      <c r="BA14" s="50">
        <v>2478</v>
      </c>
      <c r="BB14" s="48">
        <v>273</v>
      </c>
      <c r="BC14" s="49">
        <f>2701.83*2.2046</f>
        <v>5956.454418</v>
      </c>
      <c r="BD14" s="49">
        <v>626</v>
      </c>
      <c r="BE14" s="50">
        <v>924</v>
      </c>
      <c r="BF14" s="48">
        <v>885</v>
      </c>
      <c r="BG14" s="49">
        <v>3743</v>
      </c>
      <c r="BH14" s="49">
        <v>0</v>
      </c>
      <c r="BI14" s="50">
        <v>0</v>
      </c>
      <c r="BJ14" s="48">
        <v>2981</v>
      </c>
      <c r="BK14" s="49">
        <f>2755.61*2.2046</f>
        <v>6075.017806000001</v>
      </c>
      <c r="BL14" s="49">
        <v>342</v>
      </c>
      <c r="BM14" s="51">
        <v>172</v>
      </c>
      <c r="BN14" s="48">
        <v>2106</v>
      </c>
      <c r="BO14" s="49">
        <v>7150</v>
      </c>
      <c r="BP14" s="49">
        <v>1305</v>
      </c>
      <c r="BQ14" s="51">
        <v>4363</v>
      </c>
      <c r="BR14" s="48">
        <v>16139</v>
      </c>
      <c r="BS14" s="49">
        <v>4793</v>
      </c>
      <c r="BT14" s="49">
        <v>1609</v>
      </c>
      <c r="BU14" s="120">
        <v>4273</v>
      </c>
      <c r="BV14" s="116">
        <v>2029</v>
      </c>
      <c r="BW14" s="49">
        <v>6560.85</v>
      </c>
      <c r="BX14" s="213">
        <v>1530</v>
      </c>
      <c r="BY14" s="215">
        <v>4868</v>
      </c>
      <c r="BZ14" s="116">
        <v>1332</v>
      </c>
      <c r="CA14" s="49">
        <v>8321</v>
      </c>
      <c r="CB14" s="213">
        <v>1102</v>
      </c>
      <c r="CC14" s="50">
        <v>12959</v>
      </c>
      <c r="CD14" s="116">
        <v>525</v>
      </c>
      <c r="CE14" s="49">
        <v>7178.79</v>
      </c>
      <c r="CF14" s="45">
        <v>1728</v>
      </c>
      <c r="CG14" s="46">
        <v>10494</v>
      </c>
      <c r="CH14" s="116">
        <v>292</v>
      </c>
      <c r="CI14" s="120">
        <v>12876.53</v>
      </c>
      <c r="CJ14" s="221">
        <v>313</v>
      </c>
      <c r="CK14" s="215">
        <v>2083</v>
      </c>
      <c r="CL14" s="116">
        <v>448</v>
      </c>
      <c r="CM14" s="49">
        <v>3213.75</v>
      </c>
      <c r="CN14" s="221">
        <v>910</v>
      </c>
      <c r="CO14" s="215">
        <v>906</v>
      </c>
    </row>
    <row r="15" spans="1:93" s="52" customFormat="1" ht="11.25">
      <c r="A15" s="30" t="s">
        <v>48</v>
      </c>
      <c r="B15" s="48"/>
      <c r="C15" s="49">
        <f>51.33*2.2046</f>
        <v>113.162118</v>
      </c>
      <c r="D15" s="49">
        <v>0</v>
      </c>
      <c r="E15" s="50">
        <v>0</v>
      </c>
      <c r="F15" s="48">
        <v>7</v>
      </c>
      <c r="G15" s="49">
        <f>127.16*2.2046</f>
        <v>280.336936</v>
      </c>
      <c r="H15" s="49">
        <v>0</v>
      </c>
      <c r="I15" s="50">
        <v>0</v>
      </c>
      <c r="J15" s="48"/>
      <c r="K15" s="49">
        <f>139.8*2.2046</f>
        <v>308.20308000000006</v>
      </c>
      <c r="L15" s="49">
        <v>0</v>
      </c>
      <c r="M15" s="50">
        <v>0</v>
      </c>
      <c r="N15" s="48"/>
      <c r="O15" s="49">
        <f>751.94*2.2046</f>
        <v>1657.7269240000003</v>
      </c>
      <c r="P15" s="49">
        <v>0</v>
      </c>
      <c r="Q15" s="50">
        <v>0</v>
      </c>
      <c r="R15" s="48"/>
      <c r="S15" s="49">
        <f>73.79*2.2046</f>
        <v>162.67743400000003</v>
      </c>
      <c r="T15" s="49">
        <v>0</v>
      </c>
      <c r="U15" s="50">
        <v>763</v>
      </c>
      <c r="V15" s="48">
        <v>41</v>
      </c>
      <c r="W15" s="49">
        <f>186.55*2.2046</f>
        <v>411.26813000000004</v>
      </c>
      <c r="X15" s="49">
        <v>0</v>
      </c>
      <c r="Y15" s="50">
        <v>0</v>
      </c>
      <c r="Z15" s="48">
        <v>281</v>
      </c>
      <c r="AA15" s="49">
        <f>274.53*2.2046</f>
        <v>605.228838</v>
      </c>
      <c r="AB15" s="49">
        <v>0</v>
      </c>
      <c r="AC15" s="50">
        <v>0</v>
      </c>
      <c r="AD15" s="48">
        <v>2</v>
      </c>
      <c r="AE15" s="49">
        <f>264.91*2.2046</f>
        <v>584.0205860000001</v>
      </c>
      <c r="AF15" s="49">
        <v>0</v>
      </c>
      <c r="AG15" s="50">
        <v>2731</v>
      </c>
      <c r="AH15" s="48">
        <v>7</v>
      </c>
      <c r="AI15" s="49">
        <f>113.31*2.2046</f>
        <v>249.80322600000002</v>
      </c>
      <c r="AJ15" s="49">
        <v>93</v>
      </c>
      <c r="AK15" s="50">
        <v>0</v>
      </c>
      <c r="AL15" s="48">
        <v>48</v>
      </c>
      <c r="AM15" s="49">
        <f>45.94*2.2046</f>
        <v>101.279324</v>
      </c>
      <c r="AN15" s="49">
        <v>0</v>
      </c>
      <c r="AO15" s="50">
        <v>0</v>
      </c>
      <c r="AP15" s="48">
        <v>26644</v>
      </c>
      <c r="AQ15" s="49">
        <f>194.73*2.2046</f>
        <v>429.301758</v>
      </c>
      <c r="AR15" s="49">
        <v>0</v>
      </c>
      <c r="AS15" s="50">
        <v>1440</v>
      </c>
      <c r="AT15" s="48">
        <v>59</v>
      </c>
      <c r="AU15" s="49">
        <f>113.19*2.2046</f>
        <v>249.53867400000001</v>
      </c>
      <c r="AV15" s="49">
        <v>0</v>
      </c>
      <c r="AW15" s="50">
        <v>0</v>
      </c>
      <c r="AX15" s="48"/>
      <c r="AY15" s="49">
        <f>158.25*2.2046</f>
        <v>348.87795</v>
      </c>
      <c r="AZ15" s="49">
        <v>624</v>
      </c>
      <c r="BA15" s="50">
        <v>0</v>
      </c>
      <c r="BB15" s="48">
        <v>142</v>
      </c>
      <c r="BC15" s="49">
        <f>15.15*2.2046</f>
        <v>33.39969</v>
      </c>
      <c r="BD15" s="49">
        <v>476</v>
      </c>
      <c r="BE15" s="50">
        <v>0</v>
      </c>
      <c r="BF15" s="48"/>
      <c r="BG15" s="49">
        <f>37.96*2.2046</f>
        <v>83.686616</v>
      </c>
      <c r="BH15" s="49">
        <v>0</v>
      </c>
      <c r="BI15" s="50">
        <v>2339</v>
      </c>
      <c r="BJ15" s="48">
        <v>3</v>
      </c>
      <c r="BK15" s="49">
        <f>15.51*2.2046</f>
        <v>34.193346</v>
      </c>
      <c r="BL15" s="49">
        <v>88</v>
      </c>
      <c r="BM15" s="51">
        <v>0</v>
      </c>
      <c r="BN15" s="48">
        <v>5</v>
      </c>
      <c r="BO15" s="49">
        <v>17</v>
      </c>
      <c r="BP15" s="49">
        <v>0</v>
      </c>
      <c r="BQ15" s="51">
        <v>0</v>
      </c>
      <c r="BR15" s="48">
        <v>2</v>
      </c>
      <c r="BS15" s="49">
        <v>25</v>
      </c>
      <c r="BT15" s="49">
        <v>75</v>
      </c>
      <c r="BU15" s="120">
        <v>1054</v>
      </c>
      <c r="BV15" s="116">
        <v>37</v>
      </c>
      <c r="BW15" s="49">
        <v>72.75</v>
      </c>
      <c r="BX15" s="49">
        <v>0</v>
      </c>
      <c r="BY15" s="216">
        <v>578</v>
      </c>
      <c r="BZ15" s="116">
        <v>9</v>
      </c>
      <c r="CA15" s="49">
        <v>185</v>
      </c>
      <c r="CB15" s="214">
        <v>445</v>
      </c>
      <c r="CC15" s="50">
        <v>0</v>
      </c>
      <c r="CD15" s="116">
        <v>7</v>
      </c>
      <c r="CE15" s="49">
        <v>95.39</v>
      </c>
      <c r="CF15" s="49">
        <v>0</v>
      </c>
      <c r="CG15" s="216">
        <v>417</v>
      </c>
      <c r="CH15" s="116">
        <v>11</v>
      </c>
      <c r="CI15" s="120">
        <v>120.51</v>
      </c>
      <c r="CJ15" s="49">
        <v>84</v>
      </c>
      <c r="CK15" s="216">
        <v>1098</v>
      </c>
      <c r="CL15" s="116">
        <v>2</v>
      </c>
      <c r="CM15" s="49">
        <v>89.56</v>
      </c>
      <c r="CN15" s="49">
        <v>51</v>
      </c>
      <c r="CO15" s="216">
        <v>2555</v>
      </c>
    </row>
    <row r="16" spans="1:93" s="2" customFormat="1" ht="11.25">
      <c r="A16" s="14" t="s">
        <v>17</v>
      </c>
      <c r="B16" s="44">
        <v>275832</v>
      </c>
      <c r="C16" s="45">
        <f>16733*2.2046</f>
        <v>36889.571800000005</v>
      </c>
      <c r="D16" s="45">
        <v>6268</v>
      </c>
      <c r="E16" s="46">
        <v>785</v>
      </c>
      <c r="F16" s="44">
        <v>325194</v>
      </c>
      <c r="G16" s="45">
        <f>24189*2.2046</f>
        <v>53327.0694</v>
      </c>
      <c r="H16" s="45">
        <v>1869</v>
      </c>
      <c r="I16" s="46">
        <v>9577</v>
      </c>
      <c r="J16" s="44">
        <v>302104</v>
      </c>
      <c r="K16" s="45">
        <f>23590*2.2046</f>
        <v>52006.514</v>
      </c>
      <c r="L16" s="45">
        <v>40265</v>
      </c>
      <c r="M16" s="46">
        <v>12247</v>
      </c>
      <c r="N16" s="44">
        <v>377435</v>
      </c>
      <c r="O16" s="45">
        <f>20836*2.2046</f>
        <v>45935.045600000005</v>
      </c>
      <c r="P16" s="45">
        <f>2335*2.2046</f>
        <v>5147.741</v>
      </c>
      <c r="Q16" s="46">
        <f>7364*2.2046</f>
        <v>16234.674400000002</v>
      </c>
      <c r="R16" s="44">
        <v>492686</v>
      </c>
      <c r="S16" s="45">
        <f>27920*2.2046</f>
        <v>61552.432</v>
      </c>
      <c r="T16" s="45">
        <f>3155*2.2046</f>
        <v>6955.513</v>
      </c>
      <c r="U16" s="46">
        <f>4637*2.2046</f>
        <v>10222.7302</v>
      </c>
      <c r="V16" s="44">
        <v>409732</v>
      </c>
      <c r="W16" s="45">
        <f>78234*2.2046</f>
        <v>172474.6764</v>
      </c>
      <c r="X16" s="45">
        <f>8039*2.2046</f>
        <v>17722.7794</v>
      </c>
      <c r="Y16" s="46">
        <v>14444</v>
      </c>
      <c r="Z16" s="44">
        <v>295635</v>
      </c>
      <c r="AA16" s="45">
        <f>30622*2.2046</f>
        <v>67509.26120000001</v>
      </c>
      <c r="AB16" s="45">
        <v>25974</v>
      </c>
      <c r="AC16" s="46">
        <f>3737*2.2046</f>
        <v>8238.5902</v>
      </c>
      <c r="AD16" s="44">
        <v>319211</v>
      </c>
      <c r="AE16" s="45">
        <f>24421*2.2046</f>
        <v>53838.5366</v>
      </c>
      <c r="AF16" s="45">
        <v>10031</v>
      </c>
      <c r="AG16" s="46">
        <v>7139</v>
      </c>
      <c r="AH16" s="44">
        <v>339944</v>
      </c>
      <c r="AI16" s="45">
        <f>28457*2.2046</f>
        <v>62736.302200000006</v>
      </c>
      <c r="AJ16" s="45">
        <v>16294</v>
      </c>
      <c r="AK16" s="46">
        <v>9358</v>
      </c>
      <c r="AL16" s="44">
        <v>374763</v>
      </c>
      <c r="AM16" s="45">
        <f>35522*2.2046</f>
        <v>78311.8012</v>
      </c>
      <c r="AN16" s="45">
        <v>306</v>
      </c>
      <c r="AO16" s="46">
        <f>0*2.2046</f>
        <v>0</v>
      </c>
      <c r="AP16" s="44">
        <v>306120</v>
      </c>
      <c r="AQ16" s="45">
        <f>25746*2.2046</f>
        <v>56759.6316</v>
      </c>
      <c r="AR16" s="45">
        <v>20306</v>
      </c>
      <c r="AS16" s="46">
        <v>7813</v>
      </c>
      <c r="AT16" s="44">
        <v>307448</v>
      </c>
      <c r="AU16" s="45">
        <f>34450*2.2046</f>
        <v>75948.47</v>
      </c>
      <c r="AV16" s="45">
        <v>25746</v>
      </c>
      <c r="AW16" s="46">
        <f>0*2.2046</f>
        <v>0</v>
      </c>
      <c r="AX16" s="44">
        <v>286766</v>
      </c>
      <c r="AY16" s="45">
        <f>35673*2.2046</f>
        <v>78644.6958</v>
      </c>
      <c r="AZ16" s="45">
        <f>14486*2.2046</f>
        <v>31935.835600000002</v>
      </c>
      <c r="BA16" s="46">
        <f>4005*2.2046</f>
        <v>8829.423</v>
      </c>
      <c r="BB16" s="44">
        <v>407763</v>
      </c>
      <c r="BC16" s="45">
        <f>40581*2.2046</f>
        <v>89464.8726</v>
      </c>
      <c r="BD16" s="45">
        <v>48510</v>
      </c>
      <c r="BE16" s="46">
        <f>2409*2.2046</f>
        <v>5310.8814</v>
      </c>
      <c r="BF16" s="44">
        <v>328290</v>
      </c>
      <c r="BG16" s="45">
        <v>75547</v>
      </c>
      <c r="BH16" s="45">
        <v>36043</v>
      </c>
      <c r="BI16" s="46">
        <v>109410</v>
      </c>
      <c r="BJ16" s="44">
        <v>298866</v>
      </c>
      <c r="BK16" s="45">
        <v>69039</v>
      </c>
      <c r="BL16" s="45">
        <f>6855*2.2046</f>
        <v>15112.533000000001</v>
      </c>
      <c r="BM16" s="47">
        <f>11892*2.2046</f>
        <v>26217.1032</v>
      </c>
      <c r="BN16" s="44">
        <v>316390</v>
      </c>
      <c r="BO16" s="45">
        <v>62751</v>
      </c>
      <c r="BP16" s="45">
        <v>53545</v>
      </c>
      <c r="BQ16" s="47">
        <v>33049</v>
      </c>
      <c r="BR16" s="44">
        <v>337122</v>
      </c>
      <c r="BS16" s="45">
        <v>59010</v>
      </c>
      <c r="BT16" s="45">
        <v>33660</v>
      </c>
      <c r="BU16" s="106">
        <v>112115</v>
      </c>
      <c r="BV16" s="129">
        <v>291469</v>
      </c>
      <c r="BW16" s="45">
        <v>86413.1</v>
      </c>
      <c r="BX16" s="213">
        <v>28962</v>
      </c>
      <c r="BY16" s="215">
        <v>60631</v>
      </c>
      <c r="BZ16" s="129">
        <v>309131</v>
      </c>
      <c r="CA16" s="45">
        <v>57689.21</v>
      </c>
      <c r="CB16" s="213">
        <v>32588</v>
      </c>
      <c r="CC16" s="46">
        <v>31786</v>
      </c>
      <c r="CD16" s="129">
        <v>356302</v>
      </c>
      <c r="CE16" s="45">
        <v>64301.29</v>
      </c>
      <c r="CF16" s="45">
        <v>59842</v>
      </c>
      <c r="CG16" s="46">
        <f>17694+49925</f>
        <v>67619</v>
      </c>
      <c r="CH16" s="129">
        <v>364106</v>
      </c>
      <c r="CI16" s="106">
        <v>100015.65</v>
      </c>
      <c r="CJ16" s="45">
        <v>31208</v>
      </c>
      <c r="CK16" s="46">
        <v>98720</v>
      </c>
      <c r="CL16" s="129">
        <v>280381</v>
      </c>
      <c r="CM16" s="45">
        <v>28729.16</v>
      </c>
      <c r="CN16" s="73">
        <v>15022</v>
      </c>
      <c r="CO16" s="46">
        <v>58166</v>
      </c>
    </row>
    <row r="17" spans="1:93" s="2" customFormat="1" ht="22.5">
      <c r="A17" s="14" t="s">
        <v>93</v>
      </c>
      <c r="B17" s="44">
        <f>428275*B35</f>
        <v>341411.1816562214</v>
      </c>
      <c r="C17" s="45"/>
      <c r="D17" s="45"/>
      <c r="E17" s="46"/>
      <c r="F17" s="44">
        <f>470502*F35</f>
        <v>389464.88243137824</v>
      </c>
      <c r="G17" s="45"/>
      <c r="H17" s="45"/>
      <c r="I17" s="46"/>
      <c r="J17" s="44">
        <f>564532*J35</f>
        <v>462866.14935971366</v>
      </c>
      <c r="K17" s="45"/>
      <c r="L17" s="45"/>
      <c r="M17" s="46"/>
      <c r="N17" s="44">
        <f>368637*N35</f>
        <v>292496.5491151253</v>
      </c>
      <c r="O17" s="45"/>
      <c r="P17" s="45"/>
      <c r="Q17" s="46"/>
      <c r="R17" s="44">
        <f>316906*R35</f>
        <v>235474.49180488917</v>
      </c>
      <c r="S17" s="45"/>
      <c r="T17" s="45"/>
      <c r="U17" s="46"/>
      <c r="V17" s="44">
        <f>206645*V35</f>
        <v>155543.79760326192</v>
      </c>
      <c r="W17" s="45"/>
      <c r="X17" s="45"/>
      <c r="Y17" s="46"/>
      <c r="Z17" s="44">
        <f>207683*Z35</f>
        <v>148151.5403754766</v>
      </c>
      <c r="AA17" s="45"/>
      <c r="AB17" s="45"/>
      <c r="AC17" s="46"/>
      <c r="AD17" s="44">
        <f>197315*AD35</f>
        <v>151663.72547047675</v>
      </c>
      <c r="AE17" s="45"/>
      <c r="AF17" s="45"/>
      <c r="AG17" s="46"/>
      <c r="AH17" s="44">
        <f>70608*AH35</f>
        <v>59456.07891866733</v>
      </c>
      <c r="AI17" s="45"/>
      <c r="AJ17" s="45"/>
      <c r="AK17" s="46"/>
      <c r="AL17" s="44">
        <f>63181*AL35</f>
        <v>52598.8532559368</v>
      </c>
      <c r="AM17" s="45"/>
      <c r="AN17" s="45"/>
      <c r="AO17" s="46"/>
      <c r="AP17" s="44">
        <f>49051*AP35</f>
        <v>40871.91613735165</v>
      </c>
      <c r="AQ17" s="45"/>
      <c r="AR17" s="45"/>
      <c r="AS17" s="46"/>
      <c r="AT17" s="44">
        <f>40905*AT35</f>
        <v>30298.747116066606</v>
      </c>
      <c r="AU17" s="45"/>
      <c r="AV17" s="45"/>
      <c r="AW17" s="46"/>
      <c r="AX17" s="44">
        <f>22758*AX35</f>
        <v>19112.873455047098</v>
      </c>
      <c r="AY17" s="45"/>
      <c r="AZ17" s="45"/>
      <c r="BA17" s="46"/>
      <c r="BB17" s="44">
        <f>26935*BB35</f>
        <v>21390.965680680933</v>
      </c>
      <c r="BC17" s="45"/>
      <c r="BD17" s="45"/>
      <c r="BE17" s="46"/>
      <c r="BF17" s="44">
        <f>21845*BF35</f>
        <v>16978.80870255466</v>
      </c>
      <c r="BG17" s="45"/>
      <c r="BH17" s="45"/>
      <c r="BI17" s="46"/>
      <c r="BJ17" s="44">
        <f>12924*BJ35</f>
        <v>10414.685578321403</v>
      </c>
      <c r="BK17" s="45"/>
      <c r="BL17" s="45"/>
      <c r="BM17" s="47"/>
      <c r="BN17" s="44">
        <f>11169*BN35</f>
        <v>9250.324334503657</v>
      </c>
      <c r="BO17" s="45"/>
      <c r="BP17" s="45"/>
      <c r="BQ17" s="47"/>
      <c r="BR17" s="44">
        <f>9060*BR35</f>
        <v>7586.817967874931</v>
      </c>
      <c r="BS17" s="45"/>
      <c r="BT17" s="45"/>
      <c r="BU17" s="106"/>
      <c r="BV17" s="129">
        <f>7036*BV35</f>
        <v>5970.465951751058</v>
      </c>
      <c r="BW17" s="45"/>
      <c r="BX17" s="45"/>
      <c r="BY17" s="46"/>
      <c r="BZ17" s="129">
        <f>6764*BZ35</f>
        <v>5572.213642043939</v>
      </c>
      <c r="CA17" s="45"/>
      <c r="CB17" s="45"/>
      <c r="CC17" s="46"/>
      <c r="CD17" s="129">
        <f>3429*CD35</f>
        <v>2865.9226076585815</v>
      </c>
      <c r="CE17" s="45"/>
      <c r="CF17" s="45"/>
      <c r="CG17" s="46"/>
      <c r="CH17" s="129">
        <f>3605*CH35</f>
        <v>3325.549018657844</v>
      </c>
      <c r="CI17" s="106"/>
      <c r="CJ17" s="45"/>
      <c r="CK17" s="46"/>
      <c r="CL17" s="129">
        <f>1560*CL35</f>
        <v>1417.2882043554487</v>
      </c>
      <c r="CM17" s="45"/>
      <c r="CN17" s="45"/>
      <c r="CO17" s="46"/>
    </row>
    <row r="18" spans="1:93" s="2" customFormat="1" ht="12" thickBot="1">
      <c r="A18" s="16" t="s">
        <v>68</v>
      </c>
      <c r="B18" s="57"/>
      <c r="C18" s="58"/>
      <c r="D18" s="58"/>
      <c r="E18" s="59"/>
      <c r="F18" s="57"/>
      <c r="G18" s="58"/>
      <c r="H18" s="58"/>
      <c r="I18" s="59"/>
      <c r="J18" s="57"/>
      <c r="K18" s="58"/>
      <c r="L18" s="58"/>
      <c r="M18" s="59"/>
      <c r="N18" s="57"/>
      <c r="O18" s="58"/>
      <c r="P18" s="58"/>
      <c r="Q18" s="59"/>
      <c r="R18" s="57"/>
      <c r="S18" s="58"/>
      <c r="T18" s="58"/>
      <c r="U18" s="59"/>
      <c r="V18" s="57"/>
      <c r="W18" s="58"/>
      <c r="X18" s="58"/>
      <c r="Y18" s="59"/>
      <c r="Z18" s="57"/>
      <c r="AA18" s="58"/>
      <c r="AB18" s="58"/>
      <c r="AC18" s="59"/>
      <c r="AD18" s="57"/>
      <c r="AE18" s="58"/>
      <c r="AF18" s="58"/>
      <c r="AG18" s="59"/>
      <c r="AH18" s="57"/>
      <c r="AI18" s="58"/>
      <c r="AJ18" s="58"/>
      <c r="AK18" s="59"/>
      <c r="AL18" s="57"/>
      <c r="AM18" s="58"/>
      <c r="AN18" s="58"/>
      <c r="AO18" s="59"/>
      <c r="AP18" s="57"/>
      <c r="AQ18" s="58"/>
      <c r="AR18" s="58"/>
      <c r="AS18" s="59"/>
      <c r="AT18" s="57"/>
      <c r="AU18" s="58"/>
      <c r="AV18" s="58"/>
      <c r="AW18" s="59"/>
      <c r="AX18" s="57"/>
      <c r="AY18" s="58"/>
      <c r="AZ18" s="58"/>
      <c r="BA18" s="59"/>
      <c r="BB18" s="57"/>
      <c r="BC18" s="58"/>
      <c r="BD18" s="58"/>
      <c r="BE18" s="59"/>
      <c r="BF18" s="57"/>
      <c r="BG18" s="58"/>
      <c r="BH18" s="58"/>
      <c r="BI18" s="59"/>
      <c r="BJ18" s="57"/>
      <c r="BK18" s="58"/>
      <c r="BL18" s="58"/>
      <c r="BM18" s="60"/>
      <c r="BN18" s="57"/>
      <c r="BO18" s="58"/>
      <c r="BP18" s="58"/>
      <c r="BQ18" s="60"/>
      <c r="BR18" s="57"/>
      <c r="BS18" s="58"/>
      <c r="BT18" s="58"/>
      <c r="BU18" s="153"/>
      <c r="BV18" s="174"/>
      <c r="BW18" s="54"/>
      <c r="BX18" s="54"/>
      <c r="BY18" s="55"/>
      <c r="BZ18" s="174"/>
      <c r="CA18" s="54"/>
      <c r="CB18" s="54">
        <v>0</v>
      </c>
      <c r="CC18" s="55">
        <v>0</v>
      </c>
      <c r="CD18" s="174"/>
      <c r="CE18" s="54"/>
      <c r="CF18" s="54"/>
      <c r="CG18" s="55"/>
      <c r="CH18" s="174"/>
      <c r="CI18" s="54"/>
      <c r="CJ18" s="54"/>
      <c r="CK18" s="55"/>
      <c r="CL18" s="174"/>
      <c r="CM18" s="54"/>
      <c r="CN18" s="54"/>
      <c r="CO18" s="55"/>
    </row>
    <row r="19" spans="1:93" s="2" customFormat="1" ht="12" thickBot="1">
      <c r="A19" s="17" t="s">
        <v>18</v>
      </c>
      <c r="B19" s="61">
        <v>33470</v>
      </c>
      <c r="C19" s="62">
        <f>11.03*2.2046</f>
        <v>24.316738</v>
      </c>
      <c r="D19" s="62">
        <v>0</v>
      </c>
      <c r="E19" s="63">
        <v>0</v>
      </c>
      <c r="F19" s="61">
        <v>44157</v>
      </c>
      <c r="G19" s="62">
        <f>180.22*2.2046</f>
        <v>397.313012</v>
      </c>
      <c r="H19" s="62" t="s">
        <v>100</v>
      </c>
      <c r="I19" s="63">
        <v>31931</v>
      </c>
      <c r="J19" s="61">
        <v>37300</v>
      </c>
      <c r="K19" s="62">
        <f>2.44*2.2046</f>
        <v>5.379224</v>
      </c>
      <c r="L19" s="62">
        <v>0</v>
      </c>
      <c r="M19" s="63">
        <v>4345</v>
      </c>
      <c r="N19" s="61">
        <v>33417</v>
      </c>
      <c r="O19" s="62">
        <f>646.69*2.2046</f>
        <v>1425.692774</v>
      </c>
      <c r="P19" s="62">
        <v>0</v>
      </c>
      <c r="Q19" s="63">
        <v>0</v>
      </c>
      <c r="R19" s="61">
        <v>3127</v>
      </c>
      <c r="S19" s="62"/>
      <c r="T19" s="62">
        <v>0</v>
      </c>
      <c r="U19" s="63">
        <v>0</v>
      </c>
      <c r="V19" s="61"/>
      <c r="W19" s="62"/>
      <c r="X19" s="62">
        <v>0</v>
      </c>
      <c r="Y19" s="63">
        <v>0</v>
      </c>
      <c r="Z19" s="61"/>
      <c r="AA19" s="62">
        <f>90.91*2.2046</f>
        <v>200.420186</v>
      </c>
      <c r="AB19" s="62">
        <v>0</v>
      </c>
      <c r="AC19" s="63">
        <v>0</v>
      </c>
      <c r="AD19" s="61">
        <v>16</v>
      </c>
      <c r="AE19" s="62">
        <f>0.46*2.2046</f>
        <v>1.014116</v>
      </c>
      <c r="AF19" s="62">
        <v>0</v>
      </c>
      <c r="AG19" s="63">
        <v>0</v>
      </c>
      <c r="AH19" s="61"/>
      <c r="AI19" s="62"/>
      <c r="AJ19" s="62">
        <v>0</v>
      </c>
      <c r="AK19" s="63">
        <v>0</v>
      </c>
      <c r="AL19" s="61"/>
      <c r="AM19" s="62"/>
      <c r="AN19" s="62">
        <v>0</v>
      </c>
      <c r="AO19" s="63">
        <v>0</v>
      </c>
      <c r="AP19" s="61">
        <v>170</v>
      </c>
      <c r="AQ19" s="62"/>
      <c r="AR19" s="62">
        <v>0</v>
      </c>
      <c r="AS19" s="63">
        <v>0</v>
      </c>
      <c r="AT19" s="61">
        <v>1</v>
      </c>
      <c r="AU19" s="62"/>
      <c r="AV19" s="62">
        <v>0</v>
      </c>
      <c r="AW19" s="63">
        <v>0</v>
      </c>
      <c r="AX19" s="61"/>
      <c r="AY19" s="62"/>
      <c r="AZ19" s="62">
        <v>0</v>
      </c>
      <c r="BA19" s="63">
        <v>0</v>
      </c>
      <c r="BB19" s="61"/>
      <c r="BC19" s="62"/>
      <c r="BD19" s="62">
        <v>0</v>
      </c>
      <c r="BE19" s="63">
        <v>0</v>
      </c>
      <c r="BF19" s="61"/>
      <c r="BG19" s="62"/>
      <c r="BH19" s="62">
        <v>0</v>
      </c>
      <c r="BI19" s="63">
        <v>0</v>
      </c>
      <c r="BJ19" s="61"/>
      <c r="BK19" s="62"/>
      <c r="BL19" s="62">
        <v>0</v>
      </c>
      <c r="BM19" s="64">
        <v>0</v>
      </c>
      <c r="BN19" s="61">
        <v>0</v>
      </c>
      <c r="BO19" s="62">
        <v>0</v>
      </c>
      <c r="BP19" s="62">
        <v>0</v>
      </c>
      <c r="BQ19" s="64">
        <v>0</v>
      </c>
      <c r="BR19" s="61">
        <v>0</v>
      </c>
      <c r="BS19" s="62">
        <v>0</v>
      </c>
      <c r="BT19" s="62">
        <v>0</v>
      </c>
      <c r="BU19" s="64">
        <v>0</v>
      </c>
      <c r="BV19" s="53">
        <v>0</v>
      </c>
      <c r="BW19" s="54">
        <v>0</v>
      </c>
      <c r="BX19" s="54">
        <v>0</v>
      </c>
      <c r="BY19" s="56">
        <v>0</v>
      </c>
      <c r="BZ19" s="53">
        <v>0</v>
      </c>
      <c r="CA19" s="54">
        <v>0</v>
      </c>
      <c r="CB19" s="54">
        <v>0</v>
      </c>
      <c r="CC19" s="56">
        <v>0</v>
      </c>
      <c r="CD19" s="53">
        <v>0</v>
      </c>
      <c r="CE19" s="54">
        <v>0</v>
      </c>
      <c r="CF19" s="54">
        <v>0</v>
      </c>
      <c r="CG19" s="56">
        <v>0</v>
      </c>
      <c r="CH19" s="53">
        <v>0</v>
      </c>
      <c r="CI19" s="54">
        <v>0</v>
      </c>
      <c r="CJ19" s="54">
        <v>0</v>
      </c>
      <c r="CK19" s="56">
        <v>0</v>
      </c>
      <c r="CL19" s="53">
        <v>0</v>
      </c>
      <c r="CM19" s="54">
        <v>0</v>
      </c>
      <c r="CN19" s="54">
        <v>0</v>
      </c>
      <c r="CO19" s="56">
        <v>0</v>
      </c>
    </row>
    <row r="20" spans="1:93" s="2" customFormat="1" ht="11.25">
      <c r="A20" s="18" t="s">
        <v>69</v>
      </c>
      <c r="B20" s="57"/>
      <c r="C20" s="58"/>
      <c r="D20" s="58"/>
      <c r="E20" s="59"/>
      <c r="F20" s="57"/>
      <c r="G20" s="58"/>
      <c r="H20" s="58"/>
      <c r="I20" s="59"/>
      <c r="J20" s="57"/>
      <c r="K20" s="58"/>
      <c r="L20" s="58"/>
      <c r="M20" s="59"/>
      <c r="N20" s="57"/>
      <c r="O20" s="58"/>
      <c r="P20" s="58"/>
      <c r="Q20" s="59"/>
      <c r="R20" s="57"/>
      <c r="S20" s="58"/>
      <c r="T20" s="58"/>
      <c r="U20" s="59"/>
      <c r="V20" s="57"/>
      <c r="W20" s="58"/>
      <c r="X20" s="58"/>
      <c r="Y20" s="59"/>
      <c r="Z20" s="57"/>
      <c r="AA20" s="58"/>
      <c r="AB20" s="58"/>
      <c r="AC20" s="59"/>
      <c r="AD20" s="57"/>
      <c r="AE20" s="58"/>
      <c r="AF20" s="58"/>
      <c r="AG20" s="59"/>
      <c r="AH20" s="57"/>
      <c r="AI20" s="58"/>
      <c r="AJ20" s="58"/>
      <c r="AK20" s="59"/>
      <c r="AL20" s="57"/>
      <c r="AM20" s="58"/>
      <c r="AN20" s="58"/>
      <c r="AO20" s="59"/>
      <c r="AP20" s="57"/>
      <c r="AQ20" s="58"/>
      <c r="AR20" s="58"/>
      <c r="AS20" s="59"/>
      <c r="AT20" s="57"/>
      <c r="AU20" s="58"/>
      <c r="AV20" s="58"/>
      <c r="AW20" s="59"/>
      <c r="AX20" s="57"/>
      <c r="AY20" s="58"/>
      <c r="AZ20" s="58"/>
      <c r="BA20" s="59"/>
      <c r="BB20" s="57"/>
      <c r="BC20" s="58"/>
      <c r="BD20" s="58"/>
      <c r="BE20" s="59"/>
      <c r="BF20" s="57"/>
      <c r="BG20" s="58"/>
      <c r="BH20" s="58"/>
      <c r="BI20" s="59"/>
      <c r="BJ20" s="57"/>
      <c r="BK20" s="58"/>
      <c r="BL20" s="58"/>
      <c r="BM20" s="60"/>
      <c r="BN20" s="57"/>
      <c r="BO20" s="58"/>
      <c r="BP20" s="58"/>
      <c r="BQ20" s="60"/>
      <c r="BR20" s="57"/>
      <c r="BS20" s="58"/>
      <c r="BT20" s="58"/>
      <c r="BU20" s="60"/>
      <c r="BV20" s="57"/>
      <c r="BW20" s="58"/>
      <c r="BX20" s="58"/>
      <c r="BY20" s="60"/>
      <c r="BZ20" s="57"/>
      <c r="CA20" s="58"/>
      <c r="CB20" s="58">
        <v>0</v>
      </c>
      <c r="CC20" s="60">
        <v>0</v>
      </c>
      <c r="CD20" s="57"/>
      <c r="CE20" s="58"/>
      <c r="CF20" s="58">
        <v>0</v>
      </c>
      <c r="CG20" s="60">
        <v>0</v>
      </c>
      <c r="CH20" s="57"/>
      <c r="CI20" s="58"/>
      <c r="CJ20" s="58">
        <v>0</v>
      </c>
      <c r="CK20" s="60">
        <v>0</v>
      </c>
      <c r="CL20" s="57"/>
      <c r="CM20" s="58"/>
      <c r="CN20" s="58"/>
      <c r="CO20" s="60"/>
    </row>
    <row r="21" spans="1:93" s="2" customFormat="1" ht="14.25" customHeight="1" thickBot="1">
      <c r="A21" s="19" t="s">
        <v>19</v>
      </c>
      <c r="B21" s="65">
        <v>11813</v>
      </c>
      <c r="C21" s="66">
        <f>35.7*2.2046</f>
        <v>78.70422</v>
      </c>
      <c r="D21" s="66">
        <v>0</v>
      </c>
      <c r="E21" s="67">
        <v>27108</v>
      </c>
      <c r="F21" s="65"/>
      <c r="G21" s="66">
        <f>327.25*2.2046</f>
        <v>721.4553500000001</v>
      </c>
      <c r="H21" s="66">
        <v>0</v>
      </c>
      <c r="I21" s="67">
        <v>8102</v>
      </c>
      <c r="J21" s="65">
        <v>1085</v>
      </c>
      <c r="K21" s="66">
        <f>191.09*2.2046</f>
        <v>421.277014</v>
      </c>
      <c r="L21" s="66">
        <v>14167</v>
      </c>
      <c r="M21" s="67">
        <v>8342</v>
      </c>
      <c r="N21" s="65">
        <v>1840</v>
      </c>
      <c r="O21" s="66">
        <f>213.27*2.2046</f>
        <v>470.175042</v>
      </c>
      <c r="P21" s="66">
        <v>4890</v>
      </c>
      <c r="Q21" s="67">
        <v>9463</v>
      </c>
      <c r="R21" s="65">
        <v>4664</v>
      </c>
      <c r="S21" s="66">
        <f>1917.64*2.2046</f>
        <v>4227.629144</v>
      </c>
      <c r="T21" s="66">
        <v>0</v>
      </c>
      <c r="U21" s="67">
        <v>0</v>
      </c>
      <c r="V21" s="65">
        <v>3624</v>
      </c>
      <c r="W21" s="66">
        <f>38.14*2.2046</f>
        <v>84.083444</v>
      </c>
      <c r="X21" s="66">
        <v>0</v>
      </c>
      <c r="Y21" s="67">
        <v>11537</v>
      </c>
      <c r="Z21" s="65">
        <v>3609</v>
      </c>
      <c r="AA21" s="66">
        <f>2.73*2.2046</f>
        <v>6.0185580000000005</v>
      </c>
      <c r="AB21" s="66">
        <v>1629</v>
      </c>
      <c r="AC21" s="67">
        <v>4405</v>
      </c>
      <c r="AD21" s="65">
        <v>924</v>
      </c>
      <c r="AE21" s="66">
        <f>8.17*2.2046</f>
        <v>18.011582</v>
      </c>
      <c r="AF21" s="66">
        <v>15342</v>
      </c>
      <c r="AG21" s="67">
        <v>1748</v>
      </c>
      <c r="AH21" s="65">
        <v>654</v>
      </c>
      <c r="AI21" s="66">
        <f>32.73*2.2046</f>
        <v>72.156558</v>
      </c>
      <c r="AJ21" s="66">
        <v>0</v>
      </c>
      <c r="AK21" s="67">
        <v>3512</v>
      </c>
      <c r="AL21" s="65"/>
      <c r="AM21" s="66">
        <f>19.77*2.2046</f>
        <v>43.584942</v>
      </c>
      <c r="AN21" s="66">
        <v>0</v>
      </c>
      <c r="AO21" s="67">
        <v>0</v>
      </c>
      <c r="AP21" s="65"/>
      <c r="AQ21" s="66">
        <f>25.45*2.2046</f>
        <v>56.10707</v>
      </c>
      <c r="AR21" s="66">
        <v>0</v>
      </c>
      <c r="AS21" s="67">
        <v>1843</v>
      </c>
      <c r="AT21" s="65"/>
      <c r="AU21" s="66">
        <f>7.72*2.2046</f>
        <v>17.019512</v>
      </c>
      <c r="AV21" s="66">
        <v>0</v>
      </c>
      <c r="AW21" s="67">
        <v>0</v>
      </c>
      <c r="AX21" s="65"/>
      <c r="AY21" s="66">
        <f>6.82*2.2046</f>
        <v>15.035372</v>
      </c>
      <c r="AZ21" s="66">
        <v>628</v>
      </c>
      <c r="BA21" s="67">
        <v>0</v>
      </c>
      <c r="BB21" s="65"/>
      <c r="BC21" s="66"/>
      <c r="BD21" s="66">
        <v>0</v>
      </c>
      <c r="BE21" s="67">
        <v>0</v>
      </c>
      <c r="BF21" s="65"/>
      <c r="BG21" s="66">
        <f>54.55*2.2046</f>
        <v>120.26093</v>
      </c>
      <c r="BH21" s="66">
        <v>0</v>
      </c>
      <c r="BI21" s="67">
        <v>0</v>
      </c>
      <c r="BJ21" s="65"/>
      <c r="BK21" s="66">
        <f>6.82*2.2046</f>
        <v>15.035372</v>
      </c>
      <c r="BL21" s="66">
        <v>0</v>
      </c>
      <c r="BM21" s="68">
        <v>0</v>
      </c>
      <c r="BN21" s="65">
        <v>0</v>
      </c>
      <c r="BO21" s="66">
        <v>0</v>
      </c>
      <c r="BP21" s="66">
        <v>0</v>
      </c>
      <c r="BQ21" s="68">
        <v>0</v>
      </c>
      <c r="BR21" s="65">
        <v>0</v>
      </c>
      <c r="BS21" s="66">
        <v>0</v>
      </c>
      <c r="BT21" s="66">
        <v>1116</v>
      </c>
      <c r="BU21" s="68">
        <v>0</v>
      </c>
      <c r="BV21" s="65">
        <v>0</v>
      </c>
      <c r="BW21" s="66">
        <v>61.73</v>
      </c>
      <c r="BX21" s="66">
        <v>0</v>
      </c>
      <c r="BY21" s="68">
        <v>0</v>
      </c>
      <c r="BZ21" s="65">
        <v>0</v>
      </c>
      <c r="CA21" s="66">
        <v>61.73</v>
      </c>
      <c r="CB21" s="66">
        <v>0</v>
      </c>
      <c r="CC21" s="68">
        <v>0</v>
      </c>
      <c r="CD21" s="65">
        <v>0</v>
      </c>
      <c r="CE21" s="66">
        <v>0</v>
      </c>
      <c r="CF21" s="66">
        <v>0</v>
      </c>
      <c r="CG21" s="68">
        <v>0</v>
      </c>
      <c r="CH21" s="123">
        <v>0</v>
      </c>
      <c r="CI21" s="124">
        <v>0</v>
      </c>
      <c r="CJ21" s="124">
        <v>0</v>
      </c>
      <c r="CK21" s="131">
        <v>0</v>
      </c>
      <c r="CL21" s="65">
        <v>0</v>
      </c>
      <c r="CM21" s="66">
        <v>0</v>
      </c>
      <c r="CN21" s="66">
        <v>0</v>
      </c>
      <c r="CO21" s="68">
        <v>0</v>
      </c>
    </row>
    <row r="22" spans="1:93" ht="27" customHeight="1" thickBot="1" thickTop="1">
      <c r="A22" s="10" t="s">
        <v>105</v>
      </c>
      <c r="B22" s="69"/>
      <c r="C22" s="70"/>
      <c r="D22" s="70"/>
      <c r="E22" s="71"/>
      <c r="F22" s="69"/>
      <c r="G22" s="70"/>
      <c r="H22" s="70"/>
      <c r="I22" s="71"/>
      <c r="J22" s="69"/>
      <c r="K22" s="70"/>
      <c r="L22" s="70"/>
      <c r="M22" s="71"/>
      <c r="N22" s="69"/>
      <c r="O22" s="70"/>
      <c r="P22" s="70"/>
      <c r="Q22" s="71"/>
      <c r="R22" s="69"/>
      <c r="S22" s="70"/>
      <c r="T22" s="70"/>
      <c r="U22" s="71"/>
      <c r="V22" s="69"/>
      <c r="W22" s="70"/>
      <c r="X22" s="70"/>
      <c r="Y22" s="71"/>
      <c r="Z22" s="69"/>
      <c r="AA22" s="70"/>
      <c r="AB22" s="70"/>
      <c r="AC22" s="71"/>
      <c r="AD22" s="69"/>
      <c r="AE22" s="70"/>
      <c r="AF22" s="70"/>
      <c r="AG22" s="71"/>
      <c r="AH22" s="69"/>
      <c r="AI22" s="70"/>
      <c r="AJ22" s="70"/>
      <c r="AK22" s="71"/>
      <c r="AL22" s="69"/>
      <c r="AM22" s="70"/>
      <c r="AN22" s="70"/>
      <c r="AO22" s="71"/>
      <c r="AP22" s="69"/>
      <c r="AQ22" s="70"/>
      <c r="AR22" s="70"/>
      <c r="AS22" s="71"/>
      <c r="AT22" s="69"/>
      <c r="AU22" s="70"/>
      <c r="AV22" s="70"/>
      <c r="AW22" s="71"/>
      <c r="AX22" s="69"/>
      <c r="AY22" s="70"/>
      <c r="AZ22" s="70"/>
      <c r="BA22" s="71"/>
      <c r="BB22" s="69"/>
      <c r="BC22" s="70"/>
      <c r="BD22" s="70"/>
      <c r="BE22" s="71"/>
      <c r="BF22" s="69"/>
      <c r="BG22" s="70"/>
      <c r="BH22" s="70"/>
      <c r="BI22" s="71"/>
      <c r="BJ22" s="69"/>
      <c r="BK22" s="70"/>
      <c r="BL22" s="70"/>
      <c r="BM22" s="72"/>
      <c r="BN22" s="69"/>
      <c r="BO22" s="70"/>
      <c r="BP22" s="70"/>
      <c r="BQ22" s="72"/>
      <c r="BR22" s="69"/>
      <c r="BS22" s="70"/>
      <c r="BT22" s="70"/>
      <c r="BU22" s="72"/>
      <c r="BV22" s="69"/>
      <c r="BW22" s="70"/>
      <c r="BX22" s="70"/>
      <c r="BY22" s="72"/>
      <c r="BZ22" s="69"/>
      <c r="CA22" s="70"/>
      <c r="CB22" s="70"/>
      <c r="CC22" s="72"/>
      <c r="CD22" s="69"/>
      <c r="CE22" s="70"/>
      <c r="CF22" s="70"/>
      <c r="CG22" s="217"/>
      <c r="CH22" s="224"/>
      <c r="CI22" s="222"/>
      <c r="CJ22" s="222"/>
      <c r="CK22" s="223"/>
      <c r="CL22" s="138"/>
      <c r="CM22" s="139"/>
      <c r="CN22" s="139"/>
      <c r="CO22" s="148"/>
    </row>
    <row r="23" spans="1:93" s="2" customFormat="1" ht="22.5" customHeight="1">
      <c r="A23" s="20" t="s">
        <v>63</v>
      </c>
      <c r="B23" s="57">
        <v>475010</v>
      </c>
      <c r="C23" s="58">
        <f>1919*2.2046</f>
        <v>4230.6274</v>
      </c>
      <c r="D23" s="58">
        <f>0*2.2046</f>
        <v>0</v>
      </c>
      <c r="E23" s="59">
        <f>0*2.2046</f>
        <v>0</v>
      </c>
      <c r="F23" s="57">
        <v>395281</v>
      </c>
      <c r="G23" s="58">
        <f>2002*2.2046</f>
        <v>4413.6092</v>
      </c>
      <c r="H23" s="58">
        <f>497*2.2046</f>
        <v>1095.6862</v>
      </c>
      <c r="I23" s="59">
        <v>2311</v>
      </c>
      <c r="J23" s="57">
        <v>335708</v>
      </c>
      <c r="K23" s="58">
        <f>1487*2.2046</f>
        <v>3278.2402</v>
      </c>
      <c r="L23" s="58">
        <v>97</v>
      </c>
      <c r="M23" s="59">
        <f>1623*2.2046</f>
        <v>3578.0658000000003</v>
      </c>
      <c r="N23" s="57">
        <v>521051</v>
      </c>
      <c r="O23" s="58">
        <f>1827*2.2046</f>
        <v>4027.8042</v>
      </c>
      <c r="P23" s="58">
        <f>0*2.2046</f>
        <v>0</v>
      </c>
      <c r="Q23" s="59">
        <f>0*2.2046</f>
        <v>0</v>
      </c>
      <c r="R23" s="57">
        <v>604606</v>
      </c>
      <c r="S23" s="58">
        <f>1291*2.2046</f>
        <v>2846.1386</v>
      </c>
      <c r="T23" s="58">
        <f>0*2.2046</f>
        <v>0</v>
      </c>
      <c r="U23" s="59">
        <f>130*2.2046</f>
        <v>286.598</v>
      </c>
      <c r="V23" s="57">
        <v>499793</v>
      </c>
      <c r="W23" s="58">
        <f>991*2.2046</f>
        <v>2184.7586</v>
      </c>
      <c r="X23" s="58">
        <v>0</v>
      </c>
      <c r="Y23" s="59">
        <v>284</v>
      </c>
      <c r="Z23" s="57">
        <v>577062</v>
      </c>
      <c r="AA23" s="58">
        <f>397*2.2046</f>
        <v>875.2262000000001</v>
      </c>
      <c r="AB23" s="58">
        <f>0*2.2046</f>
        <v>0</v>
      </c>
      <c r="AC23" s="59">
        <f>0*2.2046</f>
        <v>0</v>
      </c>
      <c r="AD23" s="57">
        <v>468678</v>
      </c>
      <c r="AE23" s="58">
        <f>493*2.2046</f>
        <v>1086.8678</v>
      </c>
      <c r="AF23" s="58">
        <v>1431</v>
      </c>
      <c r="AG23" s="59">
        <v>87498</v>
      </c>
      <c r="AH23" s="57">
        <v>322110</v>
      </c>
      <c r="AI23" s="58">
        <f>331*2.2046</f>
        <v>729.7226</v>
      </c>
      <c r="AJ23" s="58">
        <f>0*2.2046</f>
        <v>0</v>
      </c>
      <c r="AK23" s="59">
        <f>0*2.2046</f>
        <v>0</v>
      </c>
      <c r="AL23" s="57">
        <v>395887</v>
      </c>
      <c r="AM23" s="58">
        <f>330*2.2046</f>
        <v>727.518</v>
      </c>
      <c r="AN23" s="58">
        <v>659</v>
      </c>
      <c r="AO23" s="59">
        <v>12533</v>
      </c>
      <c r="AP23" s="57">
        <v>339759</v>
      </c>
      <c r="AQ23" s="58">
        <f>1552*2.2046</f>
        <v>3421.5392</v>
      </c>
      <c r="AR23" s="58">
        <f>0*2.2046</f>
        <v>0</v>
      </c>
      <c r="AS23" s="59">
        <v>1005</v>
      </c>
      <c r="AT23" s="57">
        <v>556941</v>
      </c>
      <c r="AU23" s="58">
        <f>1002*2.2046</f>
        <v>2209.0092</v>
      </c>
      <c r="AV23" s="58">
        <v>1470</v>
      </c>
      <c r="AW23" s="59">
        <v>157748</v>
      </c>
      <c r="AX23" s="57">
        <v>337884</v>
      </c>
      <c r="AY23" s="58">
        <f>589*2.2046</f>
        <v>1298.5094000000001</v>
      </c>
      <c r="AZ23" s="58">
        <v>5814</v>
      </c>
      <c r="BA23" s="59">
        <f>0*2.2046</f>
        <v>0</v>
      </c>
      <c r="BB23" s="57">
        <v>461777</v>
      </c>
      <c r="BC23" s="58">
        <f>233*2.2046</f>
        <v>513.6718000000001</v>
      </c>
      <c r="BD23" s="58">
        <v>14308</v>
      </c>
      <c r="BE23" s="59">
        <v>672</v>
      </c>
      <c r="BF23" s="57">
        <v>399474</v>
      </c>
      <c r="BG23" s="58">
        <f>233*2.2046</f>
        <v>513.6718000000001</v>
      </c>
      <c r="BH23" s="58">
        <v>963</v>
      </c>
      <c r="BI23" s="59">
        <f>0*2.2046</f>
        <v>0</v>
      </c>
      <c r="BJ23" s="57">
        <v>339431</v>
      </c>
      <c r="BK23" s="58">
        <f>432*2.2046</f>
        <v>952.3872</v>
      </c>
      <c r="BL23" s="58">
        <v>28973</v>
      </c>
      <c r="BM23" s="60">
        <v>10278</v>
      </c>
      <c r="BN23" s="57">
        <v>316408</v>
      </c>
      <c r="BO23" s="58">
        <v>578</v>
      </c>
      <c r="BP23" s="58">
        <v>8510</v>
      </c>
      <c r="BQ23" s="60">
        <v>0</v>
      </c>
      <c r="BR23" s="57">
        <v>298248</v>
      </c>
      <c r="BS23" s="58">
        <v>467</v>
      </c>
      <c r="BT23" s="58">
        <v>13412</v>
      </c>
      <c r="BU23" s="153">
        <v>0</v>
      </c>
      <c r="BV23" s="113">
        <v>268150</v>
      </c>
      <c r="BW23" s="114">
        <v>388.01</v>
      </c>
      <c r="BX23" s="177">
        <v>15670</v>
      </c>
      <c r="BY23" s="178">
        <v>10858</v>
      </c>
      <c r="BZ23" s="113">
        <v>263378</v>
      </c>
      <c r="CA23" s="114">
        <v>1617.15</v>
      </c>
      <c r="CB23" s="177">
        <v>31656</v>
      </c>
      <c r="CC23" s="179">
        <v>0</v>
      </c>
      <c r="CD23" s="113">
        <v>274181</v>
      </c>
      <c r="CE23" s="114">
        <v>668.85</v>
      </c>
      <c r="CF23" s="156">
        <v>166901</v>
      </c>
      <c r="CG23" s="105">
        <v>0</v>
      </c>
      <c r="CH23" s="113">
        <v>142547</v>
      </c>
      <c r="CI23" s="114">
        <v>308</v>
      </c>
      <c r="CJ23" s="114">
        <v>25093</v>
      </c>
      <c r="CK23" s="179">
        <v>1881</v>
      </c>
      <c r="CL23" s="113">
        <v>95742</v>
      </c>
      <c r="CM23" s="114">
        <v>90.76</v>
      </c>
      <c r="CN23" s="114">
        <v>14919</v>
      </c>
      <c r="CO23" s="179">
        <v>0</v>
      </c>
    </row>
    <row r="24" spans="1:93" s="2" customFormat="1" ht="12.75" customHeight="1">
      <c r="A24" s="93" t="s">
        <v>20</v>
      </c>
      <c r="B24" s="44">
        <v>33293</v>
      </c>
      <c r="C24" s="45">
        <f>43*2.2046</f>
        <v>94.79780000000001</v>
      </c>
      <c r="D24" s="45">
        <f>0*2.2046</f>
        <v>0</v>
      </c>
      <c r="E24" s="46">
        <f>0*2.2046</f>
        <v>0</v>
      </c>
      <c r="F24" s="44">
        <v>32136</v>
      </c>
      <c r="G24" s="45">
        <f>436*2.2046</f>
        <v>961.2056</v>
      </c>
      <c r="H24" s="45">
        <f>0*2.2046</f>
        <v>0</v>
      </c>
      <c r="I24" s="46">
        <f>0*2.2046</f>
        <v>0</v>
      </c>
      <c r="J24" s="44">
        <v>23794</v>
      </c>
      <c r="K24" s="45">
        <f>16*2.2046</f>
        <v>35.2736</v>
      </c>
      <c r="L24" s="45">
        <f>0*2.2046</f>
        <v>0</v>
      </c>
      <c r="M24" s="46">
        <f>1321*2.2046</f>
        <v>2912.2766</v>
      </c>
      <c r="N24" s="44">
        <v>20063</v>
      </c>
      <c r="O24" s="45">
        <f>43*2.2046</f>
        <v>94.79780000000001</v>
      </c>
      <c r="P24" s="45">
        <f>0*2.2046</f>
        <v>0</v>
      </c>
      <c r="Q24" s="46">
        <f>0*2.2046</f>
        <v>0</v>
      </c>
      <c r="R24" s="44">
        <v>20638</v>
      </c>
      <c r="S24" s="45">
        <f>37*2.2046</f>
        <v>81.5702</v>
      </c>
      <c r="T24" s="45">
        <f>0*2.2046</f>
        <v>0</v>
      </c>
      <c r="U24" s="46">
        <f>0*2.2046</f>
        <v>0</v>
      </c>
      <c r="V24" s="44">
        <v>34175</v>
      </c>
      <c r="W24" s="45">
        <f>42*2.2046</f>
        <v>92.59320000000001</v>
      </c>
      <c r="X24" s="45">
        <f>0*2.2046</f>
        <v>0</v>
      </c>
      <c r="Y24" s="46">
        <f>0*2.2046</f>
        <v>0</v>
      </c>
      <c r="Z24" s="44">
        <v>48712</v>
      </c>
      <c r="AA24" s="45">
        <f>19*2.2046</f>
        <v>41.8874</v>
      </c>
      <c r="AB24" s="45">
        <f>0*2.2046</f>
        <v>0</v>
      </c>
      <c r="AC24" s="46">
        <f>0*2.2046</f>
        <v>0</v>
      </c>
      <c r="AD24" s="44">
        <v>38199</v>
      </c>
      <c r="AE24" s="45">
        <f>52*2.2046</f>
        <v>114.6392</v>
      </c>
      <c r="AF24" s="45">
        <f>0*2.2046</f>
        <v>0</v>
      </c>
      <c r="AG24" s="46">
        <f>0*2.2046</f>
        <v>0</v>
      </c>
      <c r="AH24" s="44">
        <v>30679</v>
      </c>
      <c r="AI24" s="45">
        <f>118*2.2046</f>
        <v>260.1428</v>
      </c>
      <c r="AJ24" s="45">
        <f>0*2.2046</f>
        <v>0</v>
      </c>
      <c r="AK24" s="46">
        <f>0*2.2046</f>
        <v>0</v>
      </c>
      <c r="AL24" s="44">
        <v>23945</v>
      </c>
      <c r="AM24" s="45">
        <f>113*2.2046</f>
        <v>249.11980000000003</v>
      </c>
      <c r="AN24" s="45">
        <f>0*2.2046</f>
        <v>0</v>
      </c>
      <c r="AO24" s="46">
        <f>0*2.2046</f>
        <v>0</v>
      </c>
      <c r="AP24" s="44">
        <v>30783</v>
      </c>
      <c r="AQ24" s="45">
        <f>233*2.2046</f>
        <v>513.6718000000001</v>
      </c>
      <c r="AR24" s="45">
        <f>0*2.2046</f>
        <v>0</v>
      </c>
      <c r="AS24" s="45">
        <f>0*2.2046</f>
        <v>0</v>
      </c>
      <c r="AT24" s="44">
        <v>32516</v>
      </c>
      <c r="AU24" s="45">
        <f>11*2.2046</f>
        <v>24.250600000000002</v>
      </c>
      <c r="AV24" s="45">
        <f>41*2.2046</f>
        <v>90.38860000000001</v>
      </c>
      <c r="AW24" s="46">
        <f>0*2.2046</f>
        <v>0</v>
      </c>
      <c r="AX24" s="44">
        <v>27737</v>
      </c>
      <c r="AY24" s="45">
        <f>115*2.2046</f>
        <v>253.52900000000002</v>
      </c>
      <c r="AZ24" s="45">
        <f>0*2.2046</f>
        <v>0</v>
      </c>
      <c r="BA24" s="46">
        <f>0*2.2046</f>
        <v>0</v>
      </c>
      <c r="BB24" s="44">
        <v>17698</v>
      </c>
      <c r="BC24" s="45">
        <f>0*2.2046</f>
        <v>0</v>
      </c>
      <c r="BD24" s="45">
        <f>0*2.2046</f>
        <v>0</v>
      </c>
      <c r="BE24" s="46">
        <f>0*2.2046</f>
        <v>0</v>
      </c>
      <c r="BF24" s="44">
        <v>45358</v>
      </c>
      <c r="BG24" s="45">
        <f>85*2.2046</f>
        <v>187.39100000000002</v>
      </c>
      <c r="BH24" s="45">
        <f>0*2.2046</f>
        <v>0</v>
      </c>
      <c r="BI24" s="46">
        <f>0*2.2046</f>
        <v>0</v>
      </c>
      <c r="BJ24" s="44">
        <v>33540</v>
      </c>
      <c r="BK24" s="45">
        <v>43</v>
      </c>
      <c r="BL24" s="45">
        <f>108*2.2046</f>
        <v>238.0968</v>
      </c>
      <c r="BM24" s="47">
        <v>0</v>
      </c>
      <c r="BN24" s="44">
        <v>21283</v>
      </c>
      <c r="BO24" s="45">
        <v>53</v>
      </c>
      <c r="BP24" s="45">
        <v>0</v>
      </c>
      <c r="BQ24" s="47">
        <v>0</v>
      </c>
      <c r="BR24" s="44">
        <v>19095</v>
      </c>
      <c r="BS24" s="45">
        <v>111.79</v>
      </c>
      <c r="BT24" s="45">
        <v>0</v>
      </c>
      <c r="BU24" s="106">
        <v>0</v>
      </c>
      <c r="BV24" s="129">
        <v>16638</v>
      </c>
      <c r="BW24" s="45">
        <v>85.98</v>
      </c>
      <c r="BX24" s="45">
        <v>0</v>
      </c>
      <c r="BY24" s="46">
        <v>0</v>
      </c>
      <c r="BZ24" s="129">
        <v>59949</v>
      </c>
      <c r="CA24" s="45">
        <v>65.63</v>
      </c>
      <c r="CB24" s="159">
        <v>1561</v>
      </c>
      <c r="CC24" s="46">
        <v>0</v>
      </c>
      <c r="CD24" s="129">
        <v>51495</v>
      </c>
      <c r="CE24" s="45">
        <v>53.44</v>
      </c>
      <c r="CF24" s="45">
        <v>0</v>
      </c>
      <c r="CG24" s="106">
        <v>0</v>
      </c>
      <c r="CH24" s="129">
        <v>40074</v>
      </c>
      <c r="CI24" s="45">
        <v>0</v>
      </c>
      <c r="CJ24" s="45">
        <v>0</v>
      </c>
      <c r="CK24" s="46">
        <v>0</v>
      </c>
      <c r="CL24" s="220">
        <v>56733</v>
      </c>
      <c r="CM24" s="45">
        <v>0</v>
      </c>
      <c r="CN24" s="45">
        <v>152</v>
      </c>
      <c r="CO24" s="46">
        <v>0</v>
      </c>
    </row>
    <row r="25" spans="1:93" s="2" customFormat="1" ht="11.25">
      <c r="A25" s="13" t="s">
        <v>21</v>
      </c>
      <c r="B25" s="44">
        <v>28562</v>
      </c>
      <c r="C25" s="45">
        <f>2164.04*2.2046</f>
        <v>4770.842584</v>
      </c>
      <c r="D25" s="45">
        <v>0</v>
      </c>
      <c r="E25" s="46">
        <v>12363</v>
      </c>
      <c r="F25" s="44">
        <v>39940</v>
      </c>
      <c r="G25" s="45">
        <f>4772.69*2.2046</f>
        <v>10521.872374</v>
      </c>
      <c r="H25" s="45">
        <v>72511</v>
      </c>
      <c r="I25" s="46">
        <v>31632</v>
      </c>
      <c r="J25" s="44">
        <v>31320</v>
      </c>
      <c r="K25" s="45">
        <f>1589.88*2.2046</f>
        <v>3505.049448</v>
      </c>
      <c r="L25" s="45">
        <v>36177</v>
      </c>
      <c r="M25" s="46">
        <v>33942</v>
      </c>
      <c r="N25" s="44">
        <v>19245</v>
      </c>
      <c r="O25" s="45">
        <f>1693.1*2.2046</f>
        <v>3732.60826</v>
      </c>
      <c r="P25" s="45">
        <v>0</v>
      </c>
      <c r="Q25" s="46">
        <v>126108</v>
      </c>
      <c r="R25" s="44">
        <v>17308</v>
      </c>
      <c r="S25" s="45">
        <f>393.69*2.2046</f>
        <v>867.928974</v>
      </c>
      <c r="T25" s="45">
        <v>1124</v>
      </c>
      <c r="U25" s="46">
        <v>2284</v>
      </c>
      <c r="V25" s="44">
        <v>15736</v>
      </c>
      <c r="W25" s="45">
        <f>341.6*2.2046</f>
        <v>753.0913600000001</v>
      </c>
      <c r="X25" s="45">
        <v>0</v>
      </c>
      <c r="Y25" s="46">
        <v>86691</v>
      </c>
      <c r="Z25" s="44">
        <v>22668</v>
      </c>
      <c r="AA25" s="45">
        <f>488.17*2.2046</f>
        <v>1076.2195820000002</v>
      </c>
      <c r="AB25" s="45">
        <v>198</v>
      </c>
      <c r="AC25" s="46">
        <v>2522</v>
      </c>
      <c r="AD25" s="44">
        <v>25796</v>
      </c>
      <c r="AE25" s="45">
        <f>622.35*2.2046</f>
        <v>1372.0328100000002</v>
      </c>
      <c r="AF25" s="45">
        <v>0</v>
      </c>
      <c r="AG25" s="46">
        <v>0</v>
      </c>
      <c r="AH25" s="44">
        <v>12706</v>
      </c>
      <c r="AI25" s="45">
        <f>2115.75*2.2046</f>
        <v>4664.38245</v>
      </c>
      <c r="AJ25" s="45">
        <v>11019</v>
      </c>
      <c r="AK25" s="46">
        <v>69440</v>
      </c>
      <c r="AL25" s="44">
        <v>4272</v>
      </c>
      <c r="AM25" s="45">
        <f>2046.13*2.2046</f>
        <v>4510.898198000001</v>
      </c>
      <c r="AN25" s="45">
        <v>19967</v>
      </c>
      <c r="AO25" s="46">
        <v>10941</v>
      </c>
      <c r="AP25" s="44">
        <v>2301</v>
      </c>
      <c r="AQ25" s="45">
        <f>1678.88*2.2046</f>
        <v>3701.2588480000004</v>
      </c>
      <c r="AR25" s="45">
        <v>22072</v>
      </c>
      <c r="AS25" s="46">
        <v>5811</v>
      </c>
      <c r="AT25" s="44">
        <v>8405</v>
      </c>
      <c r="AU25" s="45">
        <f>818.37*2.2046</f>
        <v>1804.1785020000002</v>
      </c>
      <c r="AV25" s="45">
        <v>0</v>
      </c>
      <c r="AW25" s="46">
        <v>12637</v>
      </c>
      <c r="AX25" s="44">
        <v>1453</v>
      </c>
      <c r="AY25" s="45">
        <f>1800.92*2.2046</f>
        <v>3970.3082320000003</v>
      </c>
      <c r="AZ25" s="45">
        <v>2094</v>
      </c>
      <c r="BA25" s="46">
        <v>1715</v>
      </c>
      <c r="BB25" s="44">
        <v>3377</v>
      </c>
      <c r="BC25" s="45">
        <f>1119.43*2.2046</f>
        <v>2467.895378</v>
      </c>
      <c r="BD25" s="45">
        <v>15124</v>
      </c>
      <c r="BE25" s="46">
        <v>21169</v>
      </c>
      <c r="BF25" s="44">
        <v>3511</v>
      </c>
      <c r="BG25" s="45">
        <v>1175</v>
      </c>
      <c r="BH25" s="45">
        <v>0</v>
      </c>
      <c r="BI25" s="46">
        <v>926</v>
      </c>
      <c r="BJ25" s="44">
        <v>4075</v>
      </c>
      <c r="BK25" s="45">
        <f>968.96*2.2046</f>
        <v>2136.1692160000002</v>
      </c>
      <c r="BL25" s="45">
        <v>2643</v>
      </c>
      <c r="BM25" s="47">
        <v>0</v>
      </c>
      <c r="BN25" s="44">
        <v>6507</v>
      </c>
      <c r="BO25" s="45">
        <v>2053</v>
      </c>
      <c r="BP25" s="45">
        <v>16226</v>
      </c>
      <c r="BQ25" s="47">
        <v>0</v>
      </c>
      <c r="BR25" s="44">
        <v>5877</v>
      </c>
      <c r="BS25" s="45">
        <v>1110</v>
      </c>
      <c r="BT25" s="45">
        <v>7388</v>
      </c>
      <c r="BU25" s="106">
        <v>41733</v>
      </c>
      <c r="BV25" s="129">
        <v>3042</v>
      </c>
      <c r="BW25" s="45">
        <v>1849.65</v>
      </c>
      <c r="BX25" s="159">
        <v>2709</v>
      </c>
      <c r="BY25" s="46">
        <v>0</v>
      </c>
      <c r="BZ25" s="129">
        <v>3695</v>
      </c>
      <c r="CA25" s="45">
        <v>1587.63</v>
      </c>
      <c r="CB25" s="45">
        <v>0</v>
      </c>
      <c r="CC25" s="46">
        <v>0</v>
      </c>
      <c r="CD25" s="129">
        <v>2242</v>
      </c>
      <c r="CE25" s="45">
        <v>606.86</v>
      </c>
      <c r="CF25" s="159">
        <v>6616</v>
      </c>
      <c r="CG25" s="106">
        <v>0</v>
      </c>
      <c r="CH25" s="129">
        <v>1607</v>
      </c>
      <c r="CI25" s="45">
        <v>790.91</v>
      </c>
      <c r="CJ25" s="213">
        <v>2522</v>
      </c>
      <c r="CK25" s="46">
        <v>17732</v>
      </c>
      <c r="CL25" s="129">
        <v>1522</v>
      </c>
      <c r="CM25" s="45">
        <v>1150.6</v>
      </c>
      <c r="CN25" s="213">
        <v>0</v>
      </c>
      <c r="CO25" s="46">
        <v>13955</v>
      </c>
    </row>
    <row r="26" spans="1:93" s="2" customFormat="1" ht="11.25">
      <c r="A26" s="13" t="s">
        <v>22</v>
      </c>
      <c r="B26" s="44">
        <v>35890</v>
      </c>
      <c r="C26" s="45">
        <f>3312*2.2046</f>
        <v>7301.635200000001</v>
      </c>
      <c r="D26" s="45">
        <f>341*2.2046</f>
        <v>751.7686</v>
      </c>
      <c r="E26" s="46">
        <v>0</v>
      </c>
      <c r="F26" s="44">
        <v>25674</v>
      </c>
      <c r="G26" s="45">
        <f>3088*2.2046</f>
        <v>6807.804800000001</v>
      </c>
      <c r="H26" s="45">
        <v>225</v>
      </c>
      <c r="I26" s="46">
        <v>8192</v>
      </c>
      <c r="J26" s="44">
        <v>20342</v>
      </c>
      <c r="K26" s="45">
        <f>3761*2.2046</f>
        <v>8291.500600000001</v>
      </c>
      <c r="L26" s="45">
        <v>831</v>
      </c>
      <c r="M26" s="46">
        <v>351</v>
      </c>
      <c r="N26" s="44">
        <v>22638</v>
      </c>
      <c r="O26" s="45">
        <f>1475*2.2046</f>
        <v>3251.7850000000003</v>
      </c>
      <c r="P26" s="45">
        <f>67*2.2046</f>
        <v>147.7082</v>
      </c>
      <c r="Q26" s="46">
        <f>0*2.2046</f>
        <v>0</v>
      </c>
      <c r="R26" s="44">
        <v>21814</v>
      </c>
      <c r="S26" s="45">
        <f>520*2.2046</f>
        <v>1146.392</v>
      </c>
      <c r="T26" s="45">
        <f>0*2.2046</f>
        <v>0</v>
      </c>
      <c r="U26" s="46">
        <f>1037*2.2046</f>
        <v>2286.1702</v>
      </c>
      <c r="V26" s="44">
        <v>17384</v>
      </c>
      <c r="W26" s="45">
        <f>735*2.2046</f>
        <v>1620.381</v>
      </c>
      <c r="X26" s="45">
        <f>0*2.2046</f>
        <v>0</v>
      </c>
      <c r="Y26" s="46">
        <f>0*2.2046</f>
        <v>0</v>
      </c>
      <c r="Z26" s="44">
        <v>21641</v>
      </c>
      <c r="AA26" s="45">
        <f>570*2.2046</f>
        <v>1256.622</v>
      </c>
      <c r="AB26" s="45">
        <f>0*2.2046</f>
        <v>0</v>
      </c>
      <c r="AC26" s="46">
        <f>0*2.2046</f>
        <v>0</v>
      </c>
      <c r="AD26" s="44">
        <v>20330</v>
      </c>
      <c r="AE26" s="45">
        <f>254*2.2046</f>
        <v>559.9684</v>
      </c>
      <c r="AF26" s="45">
        <f>0*2.2046</f>
        <v>0</v>
      </c>
      <c r="AG26" s="46">
        <f>0*2.2046</f>
        <v>0</v>
      </c>
      <c r="AH26" s="44">
        <v>10492</v>
      </c>
      <c r="AI26" s="45">
        <f>226*2.2046</f>
        <v>498.23960000000005</v>
      </c>
      <c r="AJ26" s="45">
        <f>0*2.2046</f>
        <v>0</v>
      </c>
      <c r="AK26" s="46">
        <v>337</v>
      </c>
      <c r="AL26" s="44">
        <v>2732</v>
      </c>
      <c r="AM26" s="45">
        <f>406*2.2046</f>
        <v>895.0676000000001</v>
      </c>
      <c r="AN26" s="45">
        <f>0*2.2046</f>
        <v>0</v>
      </c>
      <c r="AO26" s="46">
        <f>0*2.2046</f>
        <v>0</v>
      </c>
      <c r="AP26" s="44">
        <v>9367</v>
      </c>
      <c r="AQ26" s="45">
        <f>182*2.2046</f>
        <v>401.23720000000003</v>
      </c>
      <c r="AR26" s="45">
        <v>5044</v>
      </c>
      <c r="AS26" s="46">
        <v>1120</v>
      </c>
      <c r="AT26" s="44">
        <v>10050</v>
      </c>
      <c r="AU26" s="45">
        <f>141*2.2046</f>
        <v>310.84860000000003</v>
      </c>
      <c r="AV26" s="45">
        <v>2381</v>
      </c>
      <c r="AW26" s="46">
        <f>0*2.2046</f>
        <v>0</v>
      </c>
      <c r="AX26" s="44">
        <v>6519</v>
      </c>
      <c r="AY26" s="45">
        <f>1022*2.2046</f>
        <v>2253.1012</v>
      </c>
      <c r="AZ26" s="45">
        <v>723</v>
      </c>
      <c r="BA26" s="46">
        <f>159*2.2046</f>
        <v>350.5314</v>
      </c>
      <c r="BB26" s="44">
        <v>1815</v>
      </c>
      <c r="BC26" s="45">
        <f>383*2.2046</f>
        <v>844.3618</v>
      </c>
      <c r="BD26" s="45">
        <f>670*2.2046</f>
        <v>1477.082</v>
      </c>
      <c r="BE26" s="46">
        <f>0*2.2046</f>
        <v>0</v>
      </c>
      <c r="BF26" s="44">
        <v>2053</v>
      </c>
      <c r="BG26" s="45">
        <v>806</v>
      </c>
      <c r="BH26" s="45">
        <v>187</v>
      </c>
      <c r="BI26" s="46">
        <v>979</v>
      </c>
      <c r="BJ26" s="44">
        <v>2433</v>
      </c>
      <c r="BK26" s="45">
        <v>839</v>
      </c>
      <c r="BL26" s="45">
        <f>477*2.2046</f>
        <v>1051.5942</v>
      </c>
      <c r="BM26" s="47">
        <f>0*2.2046</f>
        <v>0</v>
      </c>
      <c r="BN26" s="44">
        <v>967</v>
      </c>
      <c r="BO26" s="45">
        <v>1269</v>
      </c>
      <c r="BP26" s="45">
        <v>0</v>
      </c>
      <c r="BQ26" s="47">
        <v>0</v>
      </c>
      <c r="BR26" s="44">
        <v>2323</v>
      </c>
      <c r="BS26" s="45">
        <v>982</v>
      </c>
      <c r="BT26" s="45">
        <v>0</v>
      </c>
      <c r="BU26" s="106">
        <v>0</v>
      </c>
      <c r="BV26" s="129">
        <v>17505</v>
      </c>
      <c r="BW26" s="45">
        <v>1984.1</v>
      </c>
      <c r="BX26" s="45">
        <v>53</v>
      </c>
      <c r="BY26" s="46">
        <v>0</v>
      </c>
      <c r="BZ26" s="129">
        <v>25094</v>
      </c>
      <c r="CA26" s="45">
        <v>826.37</v>
      </c>
      <c r="CB26" s="45">
        <v>0</v>
      </c>
      <c r="CC26" s="46">
        <v>40</v>
      </c>
      <c r="CD26" s="129">
        <v>16209</v>
      </c>
      <c r="CE26" s="45">
        <v>1125.57</v>
      </c>
      <c r="CF26" s="159">
        <v>5064</v>
      </c>
      <c r="CG26" s="186">
        <v>1005</v>
      </c>
      <c r="CH26" s="129">
        <v>13339</v>
      </c>
      <c r="CI26" s="45">
        <v>1220</v>
      </c>
      <c r="CJ26" s="213">
        <v>68</v>
      </c>
      <c r="CK26" s="215">
        <v>362</v>
      </c>
      <c r="CL26" s="129">
        <v>8418</v>
      </c>
      <c r="CM26" s="45">
        <v>1656.81</v>
      </c>
      <c r="CN26" s="213">
        <v>0</v>
      </c>
      <c r="CO26" s="215">
        <v>474</v>
      </c>
    </row>
    <row r="27" spans="1:93" s="2" customFormat="1" ht="9.75" customHeight="1">
      <c r="A27" s="13" t="s">
        <v>23</v>
      </c>
      <c r="B27" s="44"/>
      <c r="C27" s="45">
        <f>4*2.2046</f>
        <v>8.8184</v>
      </c>
      <c r="D27" s="45">
        <v>0</v>
      </c>
      <c r="E27" s="46">
        <v>0</v>
      </c>
      <c r="F27" s="44"/>
      <c r="G27" s="45"/>
      <c r="H27" s="45">
        <v>0</v>
      </c>
      <c r="I27" s="46">
        <v>30243</v>
      </c>
      <c r="J27" s="44"/>
      <c r="K27" s="45"/>
      <c r="L27" s="45">
        <v>0</v>
      </c>
      <c r="M27" s="46">
        <v>0</v>
      </c>
      <c r="N27" s="44"/>
      <c r="O27" s="45"/>
      <c r="P27" s="45">
        <v>0</v>
      </c>
      <c r="Q27" s="46">
        <v>0</v>
      </c>
      <c r="R27" s="44"/>
      <c r="S27" s="45"/>
      <c r="T27" s="45">
        <v>0</v>
      </c>
      <c r="U27" s="46">
        <v>0</v>
      </c>
      <c r="V27" s="44">
        <v>224</v>
      </c>
      <c r="W27" s="45"/>
      <c r="X27" s="45">
        <v>0</v>
      </c>
      <c r="Y27" s="46">
        <v>0</v>
      </c>
      <c r="Z27" s="44"/>
      <c r="AA27" s="45"/>
      <c r="AB27" s="45">
        <v>0</v>
      </c>
      <c r="AC27" s="46">
        <v>0</v>
      </c>
      <c r="AD27" s="44">
        <v>278</v>
      </c>
      <c r="AE27" s="45">
        <f>2.73*2.2046</f>
        <v>6.0185580000000005</v>
      </c>
      <c r="AF27" s="45">
        <v>0</v>
      </c>
      <c r="AG27" s="46">
        <v>0</v>
      </c>
      <c r="AH27" s="44">
        <v>677</v>
      </c>
      <c r="AI27" s="45"/>
      <c r="AJ27" s="45">
        <v>0</v>
      </c>
      <c r="AK27" s="46">
        <v>0</v>
      </c>
      <c r="AL27" s="44">
        <v>548</v>
      </c>
      <c r="AM27" s="45"/>
      <c r="AN27" s="45">
        <v>0</v>
      </c>
      <c r="AO27" s="46">
        <v>0</v>
      </c>
      <c r="AP27" s="44">
        <v>937</v>
      </c>
      <c r="AQ27" s="45">
        <f>1.81*2.2046</f>
        <v>3.9903260000000005</v>
      </c>
      <c r="AR27" s="45">
        <v>0</v>
      </c>
      <c r="AS27" s="46">
        <v>0</v>
      </c>
      <c r="AT27" s="44">
        <v>2229</v>
      </c>
      <c r="AU27" s="45"/>
      <c r="AV27" s="45">
        <v>0</v>
      </c>
      <c r="AW27" s="46">
        <v>0</v>
      </c>
      <c r="AX27" s="44">
        <v>496</v>
      </c>
      <c r="AY27" s="45">
        <f>3.64*2.2046</f>
        <v>8.024744</v>
      </c>
      <c r="AZ27" s="45">
        <v>0</v>
      </c>
      <c r="BA27" s="46">
        <v>0</v>
      </c>
      <c r="BB27" s="44">
        <v>2360</v>
      </c>
      <c r="BC27" s="45"/>
      <c r="BD27" s="45">
        <v>0</v>
      </c>
      <c r="BE27" s="46">
        <v>0</v>
      </c>
      <c r="BF27" s="44">
        <v>1418</v>
      </c>
      <c r="BG27" s="45"/>
      <c r="BH27" s="45">
        <v>0</v>
      </c>
      <c r="BI27" s="46">
        <v>0</v>
      </c>
      <c r="BJ27" s="44">
        <v>2495</v>
      </c>
      <c r="BK27" s="45"/>
      <c r="BL27" s="45">
        <v>0</v>
      </c>
      <c r="BM27" s="47">
        <v>0</v>
      </c>
      <c r="BN27" s="44">
        <v>1932</v>
      </c>
      <c r="BO27" s="45">
        <v>0</v>
      </c>
      <c r="BP27" s="45">
        <v>0</v>
      </c>
      <c r="BQ27" s="47">
        <v>0</v>
      </c>
      <c r="BR27" s="44">
        <v>1960</v>
      </c>
      <c r="BS27" s="45">
        <v>0</v>
      </c>
      <c r="BT27" s="45">
        <v>0</v>
      </c>
      <c r="BU27" s="106">
        <v>0</v>
      </c>
      <c r="BV27" s="129">
        <v>2863</v>
      </c>
      <c r="BW27" s="45">
        <v>0</v>
      </c>
      <c r="BX27" s="45">
        <v>0</v>
      </c>
      <c r="BY27" s="46">
        <v>0</v>
      </c>
      <c r="BZ27" s="129">
        <v>651</v>
      </c>
      <c r="CA27" s="45">
        <v>0</v>
      </c>
      <c r="CB27" s="45">
        <v>0</v>
      </c>
      <c r="CC27" s="46">
        <v>0</v>
      </c>
      <c r="CD27" s="129">
        <v>367</v>
      </c>
      <c r="CE27" s="45">
        <v>0</v>
      </c>
      <c r="CF27" s="45">
        <v>0</v>
      </c>
      <c r="CG27" s="106">
        <v>0</v>
      </c>
      <c r="CH27" s="129">
        <v>4027</v>
      </c>
      <c r="CI27" s="45">
        <v>3.67</v>
      </c>
      <c r="CJ27" s="45">
        <v>0</v>
      </c>
      <c r="CK27" s="46">
        <v>0</v>
      </c>
      <c r="CL27" s="129">
        <v>1744</v>
      </c>
      <c r="CM27" s="45">
        <v>0</v>
      </c>
      <c r="CN27" s="45">
        <v>0</v>
      </c>
      <c r="CO27" s="46">
        <v>0</v>
      </c>
    </row>
    <row r="28" spans="1:93" s="2" customFormat="1" ht="11.25">
      <c r="A28" s="13" t="s">
        <v>107</v>
      </c>
      <c r="B28" s="44">
        <v>1317941</v>
      </c>
      <c r="C28" s="45">
        <f>0*2.2046</f>
        <v>0</v>
      </c>
      <c r="D28" s="45">
        <f>114*2.2046</f>
        <v>251.32440000000003</v>
      </c>
      <c r="E28" s="46">
        <f>0*2.2046</f>
        <v>0</v>
      </c>
      <c r="F28" s="44">
        <v>370437</v>
      </c>
      <c r="G28" s="45">
        <f>36*2.2046</f>
        <v>79.3656</v>
      </c>
      <c r="H28" s="45">
        <v>44</v>
      </c>
      <c r="I28" s="46">
        <f>0*2.2046</f>
        <v>0</v>
      </c>
      <c r="J28" s="44">
        <v>659206</v>
      </c>
      <c r="K28" s="45">
        <f>0*2.2046</f>
        <v>0</v>
      </c>
      <c r="L28" s="45">
        <f>0*2.2046</f>
        <v>0</v>
      </c>
      <c r="M28" s="46">
        <f>1799*2.2046</f>
        <v>3966.0754</v>
      </c>
      <c r="N28" s="44">
        <v>993302</v>
      </c>
      <c r="O28" s="45">
        <f>6*2.2046</f>
        <v>13.2276</v>
      </c>
      <c r="P28" s="45">
        <f>0*2.2046</f>
        <v>0</v>
      </c>
      <c r="Q28" s="45">
        <f>0*2.2046</f>
        <v>0</v>
      </c>
      <c r="R28" s="44">
        <v>1008802</v>
      </c>
      <c r="S28" s="45">
        <f>3*2.2046</f>
        <v>6.6138</v>
      </c>
      <c r="T28" s="45">
        <f>62*2.2046</f>
        <v>136.6852</v>
      </c>
      <c r="U28" s="46">
        <f>0*2.2046</f>
        <v>0</v>
      </c>
      <c r="V28" s="44">
        <v>1066839</v>
      </c>
      <c r="W28" s="45">
        <f>0*2.2046</f>
        <v>0</v>
      </c>
      <c r="X28" s="45">
        <f>81*2.2046</f>
        <v>178.57260000000002</v>
      </c>
      <c r="Y28" s="46">
        <f>0*2.2046</f>
        <v>0</v>
      </c>
      <c r="Z28" s="44">
        <v>1053324</v>
      </c>
      <c r="AA28" s="45">
        <f>12*2.2046</f>
        <v>26.4552</v>
      </c>
      <c r="AB28" s="46">
        <f>0*2.2046</f>
        <v>0</v>
      </c>
      <c r="AC28" s="46">
        <f>0*2.2046</f>
        <v>0</v>
      </c>
      <c r="AD28" s="44">
        <v>1144283</v>
      </c>
      <c r="AE28" s="45">
        <f>0*2.2046</f>
        <v>0</v>
      </c>
      <c r="AF28" s="46">
        <f>0*2.2046</f>
        <v>0</v>
      </c>
      <c r="AG28" s="46">
        <f>0*2.2046</f>
        <v>0</v>
      </c>
      <c r="AH28" s="44">
        <v>897084</v>
      </c>
      <c r="AI28" s="45">
        <f>5*2.2046</f>
        <v>11.023</v>
      </c>
      <c r="AJ28" s="45">
        <v>15959</v>
      </c>
      <c r="AK28" s="46">
        <f>0*2.2046</f>
        <v>0</v>
      </c>
      <c r="AL28" s="44">
        <v>751861</v>
      </c>
      <c r="AM28" s="45">
        <f>0*2.2046</f>
        <v>0</v>
      </c>
      <c r="AN28" s="46">
        <f>0*2.2046</f>
        <v>0</v>
      </c>
      <c r="AO28" s="46">
        <f>0*2.2046</f>
        <v>0</v>
      </c>
      <c r="AP28" s="44">
        <v>385651</v>
      </c>
      <c r="AQ28" s="45">
        <f>0*2.2046</f>
        <v>0</v>
      </c>
      <c r="AR28" s="46">
        <f>0*2.2046</f>
        <v>0</v>
      </c>
      <c r="AS28" s="46">
        <v>3064</v>
      </c>
      <c r="AT28" s="44">
        <v>401454</v>
      </c>
      <c r="AU28" s="45">
        <f>439*2.2046</f>
        <v>967.8194000000001</v>
      </c>
      <c r="AV28" s="45">
        <v>1978</v>
      </c>
      <c r="AW28" s="46">
        <v>14725</v>
      </c>
      <c r="AX28" s="44">
        <v>407143</v>
      </c>
      <c r="AY28" s="45">
        <f>0*2.2046</f>
        <v>0</v>
      </c>
      <c r="AZ28" s="45">
        <f>1023*2.2046</f>
        <v>2255.3058</v>
      </c>
      <c r="BA28" s="46">
        <f>0*2.2046</f>
        <v>0</v>
      </c>
      <c r="BB28" s="44">
        <v>549334</v>
      </c>
      <c r="BC28" s="45">
        <f>4*2.2046</f>
        <v>8.8184</v>
      </c>
      <c r="BD28" s="45">
        <v>4409</v>
      </c>
      <c r="BE28" s="46">
        <f>0*2.2046</f>
        <v>0</v>
      </c>
      <c r="BF28" s="44">
        <v>790621</v>
      </c>
      <c r="BG28" s="45">
        <f>0*2.2046</f>
        <v>0</v>
      </c>
      <c r="BH28" s="45">
        <v>1804</v>
      </c>
      <c r="BI28" s="46">
        <f>0*2.2046</f>
        <v>0</v>
      </c>
      <c r="BJ28" s="44">
        <v>478529</v>
      </c>
      <c r="BK28" s="45">
        <f>0*2.2046</f>
        <v>0</v>
      </c>
      <c r="BL28" s="45">
        <f>9766*2.2046</f>
        <v>21530.123600000003</v>
      </c>
      <c r="BM28" s="47">
        <f>2391*2.2046</f>
        <v>5271.198600000001</v>
      </c>
      <c r="BN28" s="44">
        <v>447074</v>
      </c>
      <c r="BO28" s="45">
        <v>0</v>
      </c>
      <c r="BP28" s="45">
        <v>9246</v>
      </c>
      <c r="BQ28" s="47">
        <v>0</v>
      </c>
      <c r="BR28" s="44">
        <v>295333</v>
      </c>
      <c r="BS28" s="45">
        <v>0</v>
      </c>
      <c r="BT28" s="45">
        <v>27803</v>
      </c>
      <c r="BU28" s="106">
        <v>0</v>
      </c>
      <c r="BV28" s="129">
        <v>251617</v>
      </c>
      <c r="BW28" s="45">
        <v>0</v>
      </c>
      <c r="BX28" s="159">
        <v>19464</v>
      </c>
      <c r="BY28" s="172">
        <v>5545</v>
      </c>
      <c r="BZ28" s="129">
        <v>315812</v>
      </c>
      <c r="CA28" s="45">
        <v>0</v>
      </c>
      <c r="CB28" s="159">
        <v>195808</v>
      </c>
      <c r="CC28" s="172">
        <v>44432</v>
      </c>
      <c r="CD28" s="129">
        <v>447772</v>
      </c>
      <c r="CE28" s="45">
        <v>0</v>
      </c>
      <c r="CF28" s="45">
        <v>33909</v>
      </c>
      <c r="CG28" s="218">
        <v>10152</v>
      </c>
      <c r="CH28" s="129">
        <v>342755</v>
      </c>
      <c r="CI28" s="45">
        <v>0</v>
      </c>
      <c r="CJ28" s="45">
        <v>0</v>
      </c>
      <c r="CK28" s="46">
        <v>4782</v>
      </c>
      <c r="CL28" s="129">
        <v>374040</v>
      </c>
      <c r="CM28" s="45">
        <v>0</v>
      </c>
      <c r="CN28" s="45">
        <v>0</v>
      </c>
      <c r="CO28" s="46">
        <v>0</v>
      </c>
    </row>
    <row r="29" spans="1:93" s="2" customFormat="1" ht="14.25" customHeight="1">
      <c r="A29" s="13" t="s">
        <v>24</v>
      </c>
      <c r="B29" s="44">
        <v>116081</v>
      </c>
      <c r="C29" s="45">
        <f>988.22*2.2046</f>
        <v>2178.629812</v>
      </c>
      <c r="D29" s="45">
        <v>0</v>
      </c>
      <c r="E29" s="46">
        <v>0</v>
      </c>
      <c r="F29" s="44">
        <v>91082</v>
      </c>
      <c r="G29" s="45">
        <f>976.6*2.2046</f>
        <v>2153.01236</v>
      </c>
      <c r="H29" s="45">
        <v>0</v>
      </c>
      <c r="I29" s="46">
        <v>0</v>
      </c>
      <c r="J29" s="44">
        <v>50409</v>
      </c>
      <c r="K29" s="45">
        <f>544.57*2.2046</f>
        <v>1200.5590220000001</v>
      </c>
      <c r="L29" s="45">
        <v>0</v>
      </c>
      <c r="M29" s="46">
        <v>0</v>
      </c>
      <c r="N29" s="44">
        <v>55563</v>
      </c>
      <c r="O29" s="45">
        <f>195.7*2.2046</f>
        <v>431.44022</v>
      </c>
      <c r="P29" s="45">
        <v>0</v>
      </c>
      <c r="Q29" s="46">
        <v>0</v>
      </c>
      <c r="R29" s="44">
        <v>102169</v>
      </c>
      <c r="S29" s="45">
        <f>343.71*2.2046</f>
        <v>757.743066</v>
      </c>
      <c r="T29" s="45">
        <v>0</v>
      </c>
      <c r="U29" s="46">
        <v>0</v>
      </c>
      <c r="V29" s="44">
        <v>142400</v>
      </c>
      <c r="W29" s="45">
        <f>363.91*2.2046</f>
        <v>802.2759860000001</v>
      </c>
      <c r="X29" s="45">
        <v>0</v>
      </c>
      <c r="Y29" s="46">
        <v>0</v>
      </c>
      <c r="Z29" s="44">
        <v>291484</v>
      </c>
      <c r="AA29" s="45">
        <f>1261.49*2.2046</f>
        <v>2781.0808540000003</v>
      </c>
      <c r="AB29" s="45">
        <v>0</v>
      </c>
      <c r="AC29" s="46">
        <v>0</v>
      </c>
      <c r="AD29" s="44">
        <v>220517</v>
      </c>
      <c r="AE29" s="45">
        <f>113.27*2.2046</f>
        <v>249.715042</v>
      </c>
      <c r="AF29" s="45">
        <v>9850</v>
      </c>
      <c r="AG29" s="46">
        <v>0</v>
      </c>
      <c r="AH29" s="44">
        <v>214031</v>
      </c>
      <c r="AI29" s="45">
        <f>66.25*2.2046</f>
        <v>146.05475</v>
      </c>
      <c r="AJ29" s="45">
        <v>0</v>
      </c>
      <c r="AK29" s="46">
        <v>0</v>
      </c>
      <c r="AL29" s="44">
        <v>182239</v>
      </c>
      <c r="AM29" s="45">
        <f>261.38*2.2046</f>
        <v>576.238348</v>
      </c>
      <c r="AN29" s="45">
        <v>14209</v>
      </c>
      <c r="AO29" s="46">
        <v>0</v>
      </c>
      <c r="AP29" s="44">
        <v>167687</v>
      </c>
      <c r="AQ29" s="45">
        <f>5295.86*2.2046</f>
        <v>11675.252956</v>
      </c>
      <c r="AR29" s="45">
        <v>697</v>
      </c>
      <c r="AS29" s="46">
        <v>0</v>
      </c>
      <c r="AT29" s="44">
        <v>231808</v>
      </c>
      <c r="AU29" s="45">
        <f>122.20463*2.2046</f>
        <v>269.412327298</v>
      </c>
      <c r="AV29" s="45">
        <v>28203</v>
      </c>
      <c r="AW29" s="46">
        <v>0</v>
      </c>
      <c r="AX29" s="44">
        <v>111636</v>
      </c>
      <c r="AY29" s="45">
        <f>117.65*2.2046</f>
        <v>259.37119</v>
      </c>
      <c r="AZ29" s="45">
        <v>0</v>
      </c>
      <c r="BA29" s="46">
        <v>0</v>
      </c>
      <c r="BB29" s="44">
        <v>122549</v>
      </c>
      <c r="BC29" s="45">
        <f>25.04*2.2046</f>
        <v>55.203184</v>
      </c>
      <c r="BD29" s="45">
        <v>0</v>
      </c>
      <c r="BE29" s="46">
        <v>0</v>
      </c>
      <c r="BF29" s="44">
        <v>130099</v>
      </c>
      <c r="BG29" s="45">
        <f>14.31*2.2046</f>
        <v>31.547826000000004</v>
      </c>
      <c r="BH29" s="45">
        <v>88</v>
      </c>
      <c r="BI29" s="46">
        <v>0</v>
      </c>
      <c r="BJ29" s="44">
        <v>141701</v>
      </c>
      <c r="BK29" s="45">
        <f>100.48*2.2046</f>
        <v>221.51820800000002</v>
      </c>
      <c r="BL29" s="45">
        <v>20223</v>
      </c>
      <c r="BM29" s="47">
        <v>0</v>
      </c>
      <c r="BN29" s="44">
        <v>273680</v>
      </c>
      <c r="BO29" s="45">
        <v>1432</v>
      </c>
      <c r="BP29" s="45">
        <v>119</v>
      </c>
      <c r="BQ29" s="47">
        <v>0</v>
      </c>
      <c r="BR29" s="44">
        <v>133455</v>
      </c>
      <c r="BS29" s="45">
        <v>105</v>
      </c>
      <c r="BT29" s="45">
        <v>3439</v>
      </c>
      <c r="BU29" s="106">
        <v>8073</v>
      </c>
      <c r="BV29" s="129">
        <v>117917</v>
      </c>
      <c r="BW29" s="45">
        <v>88.18</v>
      </c>
      <c r="BX29" s="159">
        <v>1817</v>
      </c>
      <c r="BY29" s="46">
        <v>0</v>
      </c>
      <c r="BZ29" s="129">
        <v>133856</v>
      </c>
      <c r="CA29" s="45">
        <v>838.32</v>
      </c>
      <c r="CB29" s="159">
        <v>35983</v>
      </c>
      <c r="CC29" s="46">
        <v>0</v>
      </c>
      <c r="CD29" s="129">
        <v>190620</v>
      </c>
      <c r="CE29" s="45">
        <v>956.83</v>
      </c>
      <c r="CF29" s="45">
        <v>105755</v>
      </c>
      <c r="CG29" s="156">
        <v>155034</v>
      </c>
      <c r="CH29" s="129">
        <v>77292</v>
      </c>
      <c r="CI29" s="45">
        <v>191.93</v>
      </c>
      <c r="CJ29" s="45">
        <v>323602</v>
      </c>
      <c r="CK29" s="46">
        <v>65353</v>
      </c>
      <c r="CL29" s="129">
        <v>426908</v>
      </c>
      <c r="CM29" s="45">
        <v>64.98</v>
      </c>
      <c r="CN29" s="45">
        <v>253234</v>
      </c>
      <c r="CO29" s="46">
        <v>134154</v>
      </c>
    </row>
    <row r="30" spans="1:93" s="2" customFormat="1" ht="11.25">
      <c r="A30" s="13" t="s">
        <v>30</v>
      </c>
      <c r="B30" s="44"/>
      <c r="C30" s="45"/>
      <c r="D30" s="45">
        <v>0</v>
      </c>
      <c r="E30" s="46">
        <v>0</v>
      </c>
      <c r="F30" s="44"/>
      <c r="G30" s="45"/>
      <c r="H30" s="45">
        <v>0</v>
      </c>
      <c r="I30" s="46">
        <v>0</v>
      </c>
      <c r="J30" s="44"/>
      <c r="K30" s="45"/>
      <c r="L30" s="45">
        <v>0</v>
      </c>
      <c r="M30" s="46">
        <v>0</v>
      </c>
      <c r="N30" s="44"/>
      <c r="O30" s="45"/>
      <c r="P30" s="45">
        <v>26848</v>
      </c>
      <c r="Q30" s="46">
        <v>0</v>
      </c>
      <c r="R30" s="44">
        <v>32</v>
      </c>
      <c r="S30" s="45"/>
      <c r="T30" s="45">
        <v>0</v>
      </c>
      <c r="U30" s="46">
        <v>0</v>
      </c>
      <c r="V30" s="44">
        <v>140</v>
      </c>
      <c r="W30" s="45"/>
      <c r="X30" s="45">
        <v>0</v>
      </c>
      <c r="Y30" s="46">
        <v>0</v>
      </c>
      <c r="Z30" s="44">
        <v>61</v>
      </c>
      <c r="AA30" s="45">
        <f>0.45*2.2046</f>
        <v>0.9920700000000001</v>
      </c>
      <c r="AB30" s="45">
        <v>0</v>
      </c>
      <c r="AC30" s="46">
        <v>0</v>
      </c>
      <c r="AD30" s="44">
        <v>2972</v>
      </c>
      <c r="AE30" s="45">
        <f>0.68*2.2046</f>
        <v>1.4991280000000002</v>
      </c>
      <c r="AF30" s="45">
        <v>0</v>
      </c>
      <c r="AG30" s="46">
        <v>0</v>
      </c>
      <c r="AH30" s="44">
        <v>317</v>
      </c>
      <c r="AI30" s="45"/>
      <c r="AJ30" s="45">
        <v>0</v>
      </c>
      <c r="AK30" s="46">
        <v>0</v>
      </c>
      <c r="AL30" s="44">
        <v>1600</v>
      </c>
      <c r="AM30" s="45"/>
      <c r="AN30" s="45">
        <v>0</v>
      </c>
      <c r="AO30" s="46">
        <v>0</v>
      </c>
      <c r="AP30" s="44">
        <v>6771</v>
      </c>
      <c r="AQ30" s="45"/>
      <c r="AR30" s="45">
        <v>0</v>
      </c>
      <c r="AS30" s="46">
        <v>476</v>
      </c>
      <c r="AT30" s="44">
        <v>9913</v>
      </c>
      <c r="AU30" s="45"/>
      <c r="AV30" s="45">
        <v>0</v>
      </c>
      <c r="AW30" s="46">
        <v>0</v>
      </c>
      <c r="AX30" s="44">
        <v>1946</v>
      </c>
      <c r="AY30" s="45"/>
      <c r="AZ30" s="45">
        <v>0</v>
      </c>
      <c r="BA30" s="46">
        <v>0</v>
      </c>
      <c r="BB30" s="44">
        <v>7080</v>
      </c>
      <c r="BC30" s="45"/>
      <c r="BD30" s="45">
        <v>293</v>
      </c>
      <c r="BE30" s="46">
        <v>0</v>
      </c>
      <c r="BF30" s="44">
        <v>14237</v>
      </c>
      <c r="BG30" s="45"/>
      <c r="BH30" s="45">
        <v>0</v>
      </c>
      <c r="BI30" s="46">
        <v>0</v>
      </c>
      <c r="BJ30" s="44">
        <v>6022</v>
      </c>
      <c r="BK30" s="45"/>
      <c r="BL30" s="45">
        <v>0</v>
      </c>
      <c r="BM30" s="47">
        <v>0</v>
      </c>
      <c r="BN30" s="44">
        <v>5066</v>
      </c>
      <c r="BO30" s="45">
        <v>0</v>
      </c>
      <c r="BP30" s="45">
        <v>0</v>
      </c>
      <c r="BQ30" s="47">
        <v>0</v>
      </c>
      <c r="BR30" s="44">
        <v>4700</v>
      </c>
      <c r="BS30" s="45">
        <v>0</v>
      </c>
      <c r="BT30" s="45">
        <v>0</v>
      </c>
      <c r="BU30" s="106">
        <v>0</v>
      </c>
      <c r="BV30" s="129">
        <v>4470</v>
      </c>
      <c r="BW30" s="45">
        <v>0</v>
      </c>
      <c r="BX30" s="45">
        <v>0</v>
      </c>
      <c r="BY30" s="46">
        <v>0</v>
      </c>
      <c r="BZ30" s="129">
        <v>8860</v>
      </c>
      <c r="CA30" s="45">
        <v>0</v>
      </c>
      <c r="CB30" s="45">
        <v>0</v>
      </c>
      <c r="CC30" s="172">
        <v>1409</v>
      </c>
      <c r="CD30" s="129">
        <v>4448</v>
      </c>
      <c r="CE30" s="45">
        <v>0</v>
      </c>
      <c r="CF30" s="45">
        <v>0</v>
      </c>
      <c r="CG30" s="106">
        <v>0</v>
      </c>
      <c r="CH30" s="129">
        <v>7563</v>
      </c>
      <c r="CI30" s="45">
        <v>0</v>
      </c>
      <c r="CJ30" s="45">
        <v>0</v>
      </c>
      <c r="CK30" s="46">
        <v>0</v>
      </c>
      <c r="CL30" s="129">
        <v>4904</v>
      </c>
      <c r="CM30" s="45">
        <v>0</v>
      </c>
      <c r="CN30" s="45">
        <v>0</v>
      </c>
      <c r="CO30" s="46">
        <v>0</v>
      </c>
    </row>
    <row r="31" spans="1:93" s="2" customFormat="1" ht="22.5">
      <c r="A31" s="14" t="s">
        <v>94</v>
      </c>
      <c r="B31" s="44">
        <f>428275*B37</f>
        <v>86863.81834377862</v>
      </c>
      <c r="C31" s="45"/>
      <c r="D31" s="45"/>
      <c r="E31" s="46"/>
      <c r="F31" s="44">
        <f>470502*F37</f>
        <v>81037.11756862172</v>
      </c>
      <c r="G31" s="45"/>
      <c r="H31" s="45"/>
      <c r="I31" s="46"/>
      <c r="J31" s="44">
        <f>564532*J37</f>
        <v>101665.85064028639</v>
      </c>
      <c r="K31" s="45"/>
      <c r="L31" s="45"/>
      <c r="M31" s="46"/>
      <c r="N31" s="44">
        <f>368637*N37</f>
        <v>76140.4508848747</v>
      </c>
      <c r="O31" s="45"/>
      <c r="P31" s="45"/>
      <c r="Q31" s="46"/>
      <c r="R31" s="44">
        <f>316906*R37</f>
        <v>81431.50819511081</v>
      </c>
      <c r="S31" s="45"/>
      <c r="T31" s="45"/>
      <c r="U31" s="46"/>
      <c r="V31" s="44">
        <f>206645*V37</f>
        <v>51101.202396738096</v>
      </c>
      <c r="W31" s="45"/>
      <c r="X31" s="45"/>
      <c r="Y31" s="46"/>
      <c r="Z31" s="44">
        <f>207683*Z37</f>
        <v>59531.459624523406</v>
      </c>
      <c r="AA31" s="45"/>
      <c r="AB31" s="45"/>
      <c r="AC31" s="46"/>
      <c r="AD31" s="44">
        <f>197315*AD37</f>
        <v>45651.274529523245</v>
      </c>
      <c r="AE31" s="45"/>
      <c r="AF31" s="45"/>
      <c r="AG31" s="46"/>
      <c r="AH31" s="44">
        <f>70608*AH37</f>
        <v>11151.921081332672</v>
      </c>
      <c r="AI31" s="45"/>
      <c r="AJ31" s="45"/>
      <c r="AK31" s="46"/>
      <c r="AL31" s="44">
        <f>63181*AL37</f>
        <v>10582.146744063191</v>
      </c>
      <c r="AM31" s="45"/>
      <c r="AN31" s="45"/>
      <c r="AO31" s="46"/>
      <c r="AP31" s="44">
        <f>49051*AP37</f>
        <v>8179.0838626483555</v>
      </c>
      <c r="AQ31" s="45"/>
      <c r="AR31" s="45"/>
      <c r="AS31" s="46"/>
      <c r="AT31" s="44">
        <f>40905*AT37</f>
        <v>10606.252883933394</v>
      </c>
      <c r="AU31" s="45"/>
      <c r="AV31" s="45"/>
      <c r="AW31" s="46"/>
      <c r="AX31" s="44">
        <f>22758*AX37</f>
        <v>3645.1265449529005</v>
      </c>
      <c r="AY31" s="45"/>
      <c r="AZ31" s="45"/>
      <c r="BA31" s="46"/>
      <c r="BB31" s="44">
        <f>26935*BB37</f>
        <v>5544.034319319066</v>
      </c>
      <c r="BC31" s="45"/>
      <c r="BD31" s="45"/>
      <c r="BE31" s="46"/>
      <c r="BF31" s="44">
        <f>21845*BF37</f>
        <v>4866.191297445341</v>
      </c>
      <c r="BG31" s="45"/>
      <c r="BH31" s="45"/>
      <c r="BI31" s="46"/>
      <c r="BJ31" s="44">
        <f>12924*BJ37</f>
        <v>2509.314421678596</v>
      </c>
      <c r="BK31" s="45"/>
      <c r="BL31" s="45"/>
      <c r="BM31" s="47"/>
      <c r="BN31" s="44">
        <f>11169*BN37</f>
        <v>1918.6756654963422</v>
      </c>
      <c r="BO31" s="45"/>
      <c r="BP31" s="45"/>
      <c r="BQ31" s="47"/>
      <c r="BR31" s="44">
        <f>9060*BR37</f>
        <v>1473.1820321250686</v>
      </c>
      <c r="BS31" s="45"/>
      <c r="BT31" s="45"/>
      <c r="BU31" s="106"/>
      <c r="BV31" s="129">
        <f>7036*BV37</f>
        <v>1065.5340482489416</v>
      </c>
      <c r="BW31" s="45"/>
      <c r="BX31" s="45"/>
      <c r="BY31" s="46"/>
      <c r="BZ31" s="129">
        <f>6764*BZ37</f>
        <v>1191.7863579560608</v>
      </c>
      <c r="CA31" s="45"/>
      <c r="CB31" s="45">
        <v>0</v>
      </c>
      <c r="CC31" s="46">
        <v>0</v>
      </c>
      <c r="CD31" s="129">
        <f>3429*CD37</f>
        <v>563.0773923414187</v>
      </c>
      <c r="CE31" s="45"/>
      <c r="CF31" s="45">
        <v>0</v>
      </c>
      <c r="CG31" s="106">
        <v>0</v>
      </c>
      <c r="CH31" s="129">
        <f>3605*CH37</f>
        <v>279.45098134215584</v>
      </c>
      <c r="CI31" s="45"/>
      <c r="CJ31" s="45">
        <v>0</v>
      </c>
      <c r="CK31" s="46">
        <v>0</v>
      </c>
      <c r="CL31" s="129">
        <f>1560*CL37</f>
        <v>142.71179564455133</v>
      </c>
      <c r="CM31" s="45"/>
      <c r="CN31" s="45"/>
      <c r="CO31" s="46"/>
    </row>
    <row r="32" spans="1:93" s="2" customFormat="1" ht="23.25" customHeight="1" thickBot="1">
      <c r="A32" s="15" t="s">
        <v>95</v>
      </c>
      <c r="B32" s="53">
        <f>19265*B42</f>
        <v>19264.113380768824</v>
      </c>
      <c r="C32" s="54" t="s">
        <v>100</v>
      </c>
      <c r="D32" s="54"/>
      <c r="E32" s="55"/>
      <c r="F32" s="53">
        <f>42381*F42</f>
        <v>42357.6881692953</v>
      </c>
      <c r="G32" s="54"/>
      <c r="H32" s="54"/>
      <c r="I32" s="55"/>
      <c r="J32" s="53">
        <f>27748*J42</f>
        <v>27748</v>
      </c>
      <c r="K32" s="54"/>
      <c r="L32" s="54"/>
      <c r="M32" s="55"/>
      <c r="N32" s="53">
        <f>25702*N42</f>
        <v>25701.926486459688</v>
      </c>
      <c r="O32" s="54"/>
      <c r="P32" s="54"/>
      <c r="Q32" s="55"/>
      <c r="R32" s="53">
        <f>17822*R42</f>
        <v>17820.58843139743</v>
      </c>
      <c r="S32" s="54"/>
      <c r="T32" s="54"/>
      <c r="U32" s="55"/>
      <c r="V32" s="53">
        <f>25058*V42</f>
        <v>25034.08878596556</v>
      </c>
      <c r="W32" s="54"/>
      <c r="X32" s="54"/>
      <c r="Y32" s="55"/>
      <c r="Z32" s="53">
        <f>13834*Z42</f>
        <v>13830.976291760773</v>
      </c>
      <c r="AA32" s="54"/>
      <c r="AB32" s="54"/>
      <c r="AC32" s="55"/>
      <c r="AD32" s="53">
        <f>4404*AD42</f>
        <v>4403.912876870108</v>
      </c>
      <c r="AE32" s="54"/>
      <c r="AF32" s="54"/>
      <c r="AG32" s="55"/>
      <c r="AH32" s="53">
        <f>80*AH42</f>
        <v>79.98682621583049</v>
      </c>
      <c r="AI32" s="54"/>
      <c r="AJ32" s="54"/>
      <c r="AK32" s="55"/>
      <c r="AL32" s="53">
        <f>13*AL42</f>
        <v>12.975759874765586</v>
      </c>
      <c r="AM32" s="54"/>
      <c r="AN32" s="54"/>
      <c r="AO32" s="55"/>
      <c r="AP32" s="53">
        <f>34*AP42</f>
        <v>33.98225158816315</v>
      </c>
      <c r="AQ32" s="54"/>
      <c r="AR32" s="54"/>
      <c r="AS32" s="55"/>
      <c r="AT32" s="53"/>
      <c r="AU32" s="54"/>
      <c r="AV32" s="54"/>
      <c r="AW32" s="55"/>
      <c r="AX32" s="53"/>
      <c r="AY32" s="54"/>
      <c r="AZ32" s="54"/>
      <c r="BA32" s="55"/>
      <c r="BB32" s="53">
        <f>126*BB42</f>
        <v>125.7380002168479</v>
      </c>
      <c r="BC32" s="54"/>
      <c r="BD32" s="54"/>
      <c r="BE32" s="55"/>
      <c r="BF32" s="53">
        <f>124*BF42</f>
        <v>123.91373196825131</v>
      </c>
      <c r="BG32" s="54"/>
      <c r="BH32" s="54"/>
      <c r="BI32" s="55"/>
      <c r="BJ32" s="53">
        <f>59*BJ42</f>
        <v>58.8192453097072</v>
      </c>
      <c r="BK32" s="54"/>
      <c r="BL32" s="54"/>
      <c r="BM32" s="56"/>
      <c r="BN32" s="53"/>
      <c r="BO32" s="54"/>
      <c r="BP32" s="54"/>
      <c r="BQ32" s="56"/>
      <c r="BR32" s="53">
        <f>1019*BR42</f>
        <v>1016.6882025674615</v>
      </c>
      <c r="BS32" s="54"/>
      <c r="BT32" s="54"/>
      <c r="BU32" s="176"/>
      <c r="BV32" s="174">
        <f>145*BV42</f>
        <v>144.5014279588683</v>
      </c>
      <c r="BW32" s="54"/>
      <c r="BX32" s="54"/>
      <c r="BY32" s="55"/>
      <c r="BZ32" s="174">
        <f>422*BZ42</f>
        <v>416.72042427503214</v>
      </c>
      <c r="CA32" s="54"/>
      <c r="CB32" s="54">
        <v>0</v>
      </c>
      <c r="CC32" s="55">
        <v>0</v>
      </c>
      <c r="CD32" s="174">
        <f>0*CD42</f>
        <v>0</v>
      </c>
      <c r="CE32" s="54"/>
      <c r="CF32" s="54">
        <v>0</v>
      </c>
      <c r="CG32" s="176">
        <v>0</v>
      </c>
      <c r="CH32" s="174">
        <f>132*CH42</f>
        <v>131.41152992927704</v>
      </c>
      <c r="CI32" s="62"/>
      <c r="CJ32" s="62">
        <v>0</v>
      </c>
      <c r="CK32" s="63">
        <v>0</v>
      </c>
      <c r="CL32" s="174">
        <f>0*CL42</f>
        <v>0</v>
      </c>
      <c r="CM32" s="54"/>
      <c r="CN32" s="54"/>
      <c r="CO32" s="55"/>
    </row>
    <row r="33" spans="1:93" s="74" customFormat="1" ht="0" customHeight="1" hidden="1" thickBot="1">
      <c r="A33" s="21" t="s">
        <v>78</v>
      </c>
      <c r="B33" s="73">
        <f aca="true" t="shared" si="0" ref="B33:AG33">SUM(B6:B15,B16,B19:B27)</f>
        <v>2823922</v>
      </c>
      <c r="C33" s="73">
        <f t="shared" si="0"/>
        <v>239497.13804000005</v>
      </c>
      <c r="D33" s="73">
        <f t="shared" si="0"/>
        <v>11413.22</v>
      </c>
      <c r="E33" s="73">
        <f t="shared" si="0"/>
        <v>198306</v>
      </c>
      <c r="F33" s="73">
        <f t="shared" si="0"/>
        <v>2862541</v>
      </c>
      <c r="G33" s="73">
        <f t="shared" si="0"/>
        <v>335704.643124</v>
      </c>
      <c r="H33" s="73">
        <f t="shared" si="0"/>
        <v>99163.6862</v>
      </c>
      <c r="I33" s="73">
        <f t="shared" si="0"/>
        <v>719291</v>
      </c>
      <c r="J33" s="73">
        <f t="shared" si="0"/>
        <v>2283119</v>
      </c>
      <c r="K33" s="73">
        <f t="shared" si="0"/>
        <v>321329.25414800004</v>
      </c>
      <c r="L33" s="73">
        <f t="shared" si="0"/>
        <v>147113</v>
      </c>
      <c r="M33" s="73">
        <f t="shared" si="0"/>
        <v>308790.34239999996</v>
      </c>
      <c r="N33" s="73">
        <f t="shared" si="0"/>
        <v>2822603</v>
      </c>
      <c r="O33" s="73">
        <f t="shared" si="0"/>
        <v>262662.561998</v>
      </c>
      <c r="P33" s="73">
        <f t="shared" si="0"/>
        <v>150674.7732</v>
      </c>
      <c r="Q33" s="73">
        <f t="shared" si="0"/>
        <v>778298.6842</v>
      </c>
      <c r="R33" s="73">
        <f t="shared" si="0"/>
        <v>2585505</v>
      </c>
      <c r="S33" s="73">
        <f t="shared" si="0"/>
        <v>270667.272488</v>
      </c>
      <c r="T33" s="73">
        <f t="shared" si="0"/>
        <v>87380.513</v>
      </c>
      <c r="U33" s="73">
        <f t="shared" si="0"/>
        <v>304207.4984</v>
      </c>
      <c r="V33" s="73">
        <f t="shared" si="0"/>
        <v>2294118</v>
      </c>
      <c r="W33" s="73">
        <f t="shared" si="0"/>
        <v>319292.018256</v>
      </c>
      <c r="X33" s="73">
        <f t="shared" si="0"/>
        <v>77953.1642</v>
      </c>
      <c r="Y33" s="73">
        <f t="shared" si="0"/>
        <v>284715</v>
      </c>
      <c r="Z33" s="73">
        <f t="shared" si="0"/>
        <v>2337669</v>
      </c>
      <c r="AA33" s="73">
        <f t="shared" si="0"/>
        <v>244681.682934</v>
      </c>
      <c r="AB33" s="73">
        <f t="shared" si="0"/>
        <v>198630</v>
      </c>
      <c r="AC33" s="73">
        <f t="shared" si="0"/>
        <v>449871.5902</v>
      </c>
      <c r="AD33" s="73">
        <f t="shared" si="0"/>
        <v>2391404</v>
      </c>
      <c r="AE33" s="73">
        <f t="shared" si="0"/>
        <v>245811.58064600002</v>
      </c>
      <c r="AF33" s="73">
        <f t="shared" si="0"/>
        <v>222950</v>
      </c>
      <c r="AG33" s="73">
        <f t="shared" si="0"/>
        <v>585623</v>
      </c>
      <c r="AH33" s="73">
        <f aca="true" t="shared" si="1" ref="AH33:BQ33">SUM(AH6:AH15,AH16,AH19:AH27)</f>
        <v>2384835</v>
      </c>
      <c r="AI33" s="73">
        <f t="shared" si="1"/>
        <v>221809.22749599998</v>
      </c>
      <c r="AJ33" s="73">
        <f t="shared" si="1"/>
        <v>274536</v>
      </c>
      <c r="AK33" s="73">
        <f t="shared" si="1"/>
        <v>485320</v>
      </c>
      <c r="AL33" s="73">
        <f t="shared" si="1"/>
        <v>2551708</v>
      </c>
      <c r="AM33" s="73">
        <f t="shared" si="1"/>
        <v>252339.29415000003</v>
      </c>
      <c r="AN33" s="73">
        <f t="shared" si="1"/>
        <v>157596</v>
      </c>
      <c r="AO33" s="73">
        <f t="shared" si="1"/>
        <v>262166</v>
      </c>
      <c r="AP33" s="73">
        <f t="shared" si="1"/>
        <v>2297781</v>
      </c>
      <c r="AQ33" s="73">
        <f t="shared" si="1"/>
        <v>192704.903548</v>
      </c>
      <c r="AR33" s="73">
        <f t="shared" si="1"/>
        <v>165940</v>
      </c>
      <c r="AS33" s="73">
        <f t="shared" si="1"/>
        <v>455443</v>
      </c>
      <c r="AT33" s="73">
        <f t="shared" si="1"/>
        <v>2353123</v>
      </c>
      <c r="AU33" s="73">
        <f t="shared" si="1"/>
        <v>225636.87977200004</v>
      </c>
      <c r="AV33" s="73">
        <f t="shared" si="1"/>
        <v>138453.3886</v>
      </c>
      <c r="AW33" s="73">
        <f t="shared" si="1"/>
        <v>539200</v>
      </c>
      <c r="AX33" s="73">
        <f t="shared" si="1"/>
        <v>2335589</v>
      </c>
      <c r="AY33" s="73">
        <f t="shared" si="1"/>
        <v>256119.92071600008</v>
      </c>
      <c r="AZ33" s="73">
        <f t="shared" si="1"/>
        <v>151249.3714</v>
      </c>
      <c r="BA33" s="73">
        <f t="shared" si="1"/>
        <v>380608.9544</v>
      </c>
      <c r="BB33" s="73">
        <f t="shared" si="1"/>
        <v>2366160</v>
      </c>
      <c r="BC33" s="73">
        <f t="shared" si="1"/>
        <v>234973.88059000004</v>
      </c>
      <c r="BD33" s="73">
        <f t="shared" si="1"/>
        <v>357811.082</v>
      </c>
      <c r="BE33" s="73">
        <f t="shared" si="1"/>
        <v>506351.8814</v>
      </c>
      <c r="BF33" s="73">
        <f t="shared" si="1"/>
        <v>2028255</v>
      </c>
      <c r="BG33" s="73">
        <f t="shared" si="1"/>
        <v>202397.05417000002</v>
      </c>
      <c r="BH33" s="73">
        <f t="shared" si="1"/>
        <v>222348</v>
      </c>
      <c r="BI33" s="73">
        <f t="shared" si="1"/>
        <v>527191</v>
      </c>
      <c r="BJ33" s="73">
        <f t="shared" si="1"/>
        <v>1967323</v>
      </c>
      <c r="BK33" s="73">
        <f t="shared" si="1"/>
        <v>186385.90320200002</v>
      </c>
      <c r="BL33" s="73">
        <f t="shared" si="1"/>
        <v>224680.224</v>
      </c>
      <c r="BM33" s="73">
        <f t="shared" si="1"/>
        <v>782970.4224</v>
      </c>
      <c r="BN33" s="73">
        <f t="shared" si="1"/>
        <v>2020522</v>
      </c>
      <c r="BO33" s="73">
        <f t="shared" si="1"/>
        <v>170453</v>
      </c>
      <c r="BP33" s="73">
        <f t="shared" si="1"/>
        <v>228681</v>
      </c>
      <c r="BQ33" s="73">
        <f t="shared" si="1"/>
        <v>493216</v>
      </c>
      <c r="BR33" s="73">
        <f aca="true" t="shared" si="2" ref="BR33:BY33">SUM(BR6:BR15,BR16,BR19:BR27)</f>
        <v>2014128</v>
      </c>
      <c r="BS33" s="73">
        <f t="shared" si="2"/>
        <v>138835.79</v>
      </c>
      <c r="BT33" s="73">
        <f t="shared" si="2"/>
        <v>195426</v>
      </c>
      <c r="BU33" s="73">
        <f t="shared" si="2"/>
        <v>882814</v>
      </c>
      <c r="BV33" s="73">
        <f t="shared" si="2"/>
        <v>2035112</v>
      </c>
      <c r="BW33" s="73">
        <f t="shared" si="2"/>
        <v>293412.68000000005</v>
      </c>
      <c r="BX33" s="73">
        <f t="shared" si="2"/>
        <v>174835</v>
      </c>
      <c r="BY33" s="73">
        <f t="shared" si="2"/>
        <v>776409</v>
      </c>
      <c r="BZ33" s="73">
        <f aca="true" t="shared" si="3" ref="BZ33:CG33">SUM(BZ6:BZ15,BZ16,BZ19:BZ27)</f>
        <v>2002134</v>
      </c>
      <c r="CA33" s="73">
        <f t="shared" si="3"/>
        <v>264300.80999999994</v>
      </c>
      <c r="CB33" s="73">
        <f t="shared" si="3"/>
        <v>242976</v>
      </c>
      <c r="CC33" s="73">
        <f t="shared" si="3"/>
        <v>671303</v>
      </c>
      <c r="CD33" s="73">
        <f t="shared" si="3"/>
        <v>2097882</v>
      </c>
      <c r="CE33" s="73">
        <f t="shared" si="3"/>
        <v>185826.91999999998</v>
      </c>
      <c r="CF33" s="73">
        <f t="shared" si="3"/>
        <v>406598</v>
      </c>
      <c r="CG33" s="73">
        <f t="shared" si="3"/>
        <v>935844</v>
      </c>
      <c r="CH33" s="73">
        <f aca="true" t="shared" si="4" ref="CH33:CO33">SUM(CH6:CH15,CH16,CH19:CH27)</f>
        <v>2600622</v>
      </c>
      <c r="CI33" s="73">
        <f t="shared" si="4"/>
        <v>276133.31999999995</v>
      </c>
      <c r="CJ33" s="73">
        <f t="shared" si="4"/>
        <v>262272</v>
      </c>
      <c r="CK33" s="73">
        <f t="shared" si="4"/>
        <v>1121336</v>
      </c>
      <c r="CL33" s="73">
        <f t="shared" si="4"/>
        <v>1794442</v>
      </c>
      <c r="CM33" s="73">
        <f t="shared" si="4"/>
        <v>102999.01000000001</v>
      </c>
      <c r="CN33" s="73">
        <f t="shared" si="4"/>
        <v>168244</v>
      </c>
      <c r="CO33" s="73">
        <f t="shared" si="4"/>
        <v>1707753</v>
      </c>
    </row>
    <row r="34" spans="1:93" s="74" customFormat="1" ht="33" customHeight="1" hidden="1" thickBot="1">
      <c r="A34" s="21" t="s">
        <v>79</v>
      </c>
      <c r="B34" s="73">
        <f aca="true" t="shared" si="5" ref="B34:AG34">SUM(B6:B15,B16,B19:B21)</f>
        <v>2251167</v>
      </c>
      <c r="C34" s="73">
        <f t="shared" si="5"/>
        <v>223090.41665600007</v>
      </c>
      <c r="D34" s="73">
        <f t="shared" si="5"/>
        <v>10661.4514</v>
      </c>
      <c r="E34" s="73">
        <f t="shared" si="5"/>
        <v>185943</v>
      </c>
      <c r="F34" s="73">
        <f t="shared" si="5"/>
        <v>2369510</v>
      </c>
      <c r="G34" s="73">
        <f t="shared" si="5"/>
        <v>313000.15115</v>
      </c>
      <c r="H34" s="73">
        <f t="shared" si="5"/>
        <v>25332</v>
      </c>
      <c r="I34" s="73">
        <f t="shared" si="5"/>
        <v>646913</v>
      </c>
      <c r="J34" s="73">
        <f t="shared" si="5"/>
        <v>1871955</v>
      </c>
      <c r="K34" s="73">
        <f t="shared" si="5"/>
        <v>306219.1903</v>
      </c>
      <c r="L34" s="73">
        <f t="shared" si="5"/>
        <v>110008</v>
      </c>
      <c r="M34" s="73">
        <f t="shared" si="5"/>
        <v>268007</v>
      </c>
      <c r="N34" s="73">
        <f t="shared" si="5"/>
        <v>2239606</v>
      </c>
      <c r="O34" s="73">
        <f t="shared" si="5"/>
        <v>251555.566738</v>
      </c>
      <c r="P34" s="73">
        <f t="shared" si="5"/>
        <v>150527.065</v>
      </c>
      <c r="Q34" s="73">
        <f t="shared" si="5"/>
        <v>652190.6842</v>
      </c>
      <c r="R34" s="73">
        <f t="shared" si="5"/>
        <v>1921139</v>
      </c>
      <c r="S34" s="73">
        <f t="shared" si="5"/>
        <v>265725.242714</v>
      </c>
      <c r="T34" s="73">
        <f t="shared" si="5"/>
        <v>86256.513</v>
      </c>
      <c r="U34" s="73">
        <f t="shared" si="5"/>
        <v>299350.7302</v>
      </c>
      <c r="V34" s="73">
        <f t="shared" si="5"/>
        <v>1726806</v>
      </c>
      <c r="W34" s="73">
        <f t="shared" si="5"/>
        <v>314641.194096</v>
      </c>
      <c r="X34" s="73">
        <f t="shared" si="5"/>
        <v>77953.1642</v>
      </c>
      <c r="Y34" s="73">
        <f t="shared" si="5"/>
        <v>197740</v>
      </c>
      <c r="Z34" s="73">
        <f t="shared" si="5"/>
        <v>1667586</v>
      </c>
      <c r="AA34" s="73">
        <f t="shared" si="5"/>
        <v>241431.727752</v>
      </c>
      <c r="AB34" s="73">
        <f t="shared" si="5"/>
        <v>198432</v>
      </c>
      <c r="AC34" s="73">
        <f t="shared" si="5"/>
        <v>447349.5902</v>
      </c>
      <c r="AD34" s="73">
        <f t="shared" si="5"/>
        <v>1838123</v>
      </c>
      <c r="AE34" s="73">
        <f t="shared" si="5"/>
        <v>242672.05387799998</v>
      </c>
      <c r="AF34" s="73">
        <f t="shared" si="5"/>
        <v>221519</v>
      </c>
      <c r="AG34" s="73">
        <f t="shared" si="5"/>
        <v>498125</v>
      </c>
      <c r="AH34" s="73">
        <f aca="true" t="shared" si="6" ref="AH34:BQ34">SUM(AH6:AH15,AH16,AH19:AH21)</f>
        <v>2008171</v>
      </c>
      <c r="AI34" s="73">
        <f t="shared" si="6"/>
        <v>215656.74004599996</v>
      </c>
      <c r="AJ34" s="73">
        <f t="shared" si="6"/>
        <v>263517</v>
      </c>
      <c r="AK34" s="73">
        <f t="shared" si="6"/>
        <v>415543</v>
      </c>
      <c r="AL34" s="73">
        <f t="shared" si="6"/>
        <v>2124324</v>
      </c>
      <c r="AM34" s="73">
        <f t="shared" si="6"/>
        <v>245956.69055200001</v>
      </c>
      <c r="AN34" s="73">
        <f t="shared" si="6"/>
        <v>136970</v>
      </c>
      <c r="AO34" s="73">
        <f t="shared" si="6"/>
        <v>238692</v>
      </c>
      <c r="AP34" s="73">
        <f t="shared" si="6"/>
        <v>1914634</v>
      </c>
      <c r="AQ34" s="73">
        <f t="shared" si="6"/>
        <v>184663.206174</v>
      </c>
      <c r="AR34" s="73">
        <f t="shared" si="6"/>
        <v>138824</v>
      </c>
      <c r="AS34" s="73">
        <f t="shared" si="6"/>
        <v>447507</v>
      </c>
      <c r="AT34" s="73">
        <f t="shared" si="6"/>
        <v>1742982</v>
      </c>
      <c r="AU34" s="73">
        <f t="shared" si="6"/>
        <v>221288.59287000005</v>
      </c>
      <c r="AV34" s="73">
        <f t="shared" si="6"/>
        <v>134512</v>
      </c>
      <c r="AW34" s="73">
        <f t="shared" si="6"/>
        <v>368815</v>
      </c>
      <c r="AX34" s="73">
        <f t="shared" si="6"/>
        <v>1961500</v>
      </c>
      <c r="AY34" s="73">
        <f t="shared" si="6"/>
        <v>248336.44814000005</v>
      </c>
      <c r="AZ34" s="73">
        <f t="shared" si="6"/>
        <v>142618.3714</v>
      </c>
      <c r="BA34" s="73">
        <f t="shared" si="6"/>
        <v>378543.423</v>
      </c>
      <c r="BB34" s="73">
        <f t="shared" si="6"/>
        <v>1879133</v>
      </c>
      <c r="BC34" s="73">
        <f t="shared" si="6"/>
        <v>231147.95161200003</v>
      </c>
      <c r="BD34" s="73">
        <f t="shared" si="6"/>
        <v>326902</v>
      </c>
      <c r="BE34" s="73">
        <f t="shared" si="6"/>
        <v>484510.8814</v>
      </c>
      <c r="BF34" s="73">
        <f t="shared" si="6"/>
        <v>1576441</v>
      </c>
      <c r="BG34" s="73">
        <f t="shared" si="6"/>
        <v>199714.99137</v>
      </c>
      <c r="BH34" s="73">
        <f t="shared" si="6"/>
        <v>221198</v>
      </c>
      <c r="BI34" s="73">
        <f t="shared" si="6"/>
        <v>525286</v>
      </c>
      <c r="BJ34" s="73">
        <f t="shared" si="6"/>
        <v>1585349</v>
      </c>
      <c r="BK34" s="73">
        <f t="shared" si="6"/>
        <v>182415.346786</v>
      </c>
      <c r="BL34" s="73">
        <f t="shared" si="6"/>
        <v>191774.533</v>
      </c>
      <c r="BM34" s="73">
        <f t="shared" si="6"/>
        <v>772692.4224</v>
      </c>
      <c r="BN34" s="73">
        <f t="shared" si="6"/>
        <v>1673425</v>
      </c>
      <c r="BO34" s="73">
        <f t="shared" si="6"/>
        <v>166500</v>
      </c>
      <c r="BP34" s="73">
        <f t="shared" si="6"/>
        <v>203945</v>
      </c>
      <c r="BQ34" s="73">
        <f t="shared" si="6"/>
        <v>493216</v>
      </c>
      <c r="BR34" s="73">
        <f aca="true" t="shared" si="7" ref="BR34:BY34">SUM(BR6:BR15,BR16,BR19:BR21)</f>
        <v>1686625</v>
      </c>
      <c r="BS34" s="73">
        <f t="shared" si="7"/>
        <v>136165</v>
      </c>
      <c r="BT34" s="73">
        <f t="shared" si="7"/>
        <v>174626</v>
      </c>
      <c r="BU34" s="73">
        <f t="shared" si="7"/>
        <v>841081</v>
      </c>
      <c r="BV34" s="73">
        <f t="shared" si="7"/>
        <v>1726914</v>
      </c>
      <c r="BW34" s="73">
        <f t="shared" si="7"/>
        <v>289104.94000000006</v>
      </c>
      <c r="BX34" s="73">
        <f t="shared" si="7"/>
        <v>156403</v>
      </c>
      <c r="BY34" s="73">
        <f t="shared" si="7"/>
        <v>765551</v>
      </c>
      <c r="BZ34" s="73">
        <f aca="true" t="shared" si="8" ref="BZ34:CG34">SUM(BZ6:BZ15,BZ16,BZ19:BZ21)</f>
        <v>1649367</v>
      </c>
      <c r="CA34" s="73">
        <f t="shared" si="8"/>
        <v>260204.02999999997</v>
      </c>
      <c r="CB34" s="73">
        <f t="shared" si="8"/>
        <v>209759</v>
      </c>
      <c r="CC34" s="73">
        <f t="shared" si="8"/>
        <v>671263</v>
      </c>
      <c r="CD34" s="73">
        <f t="shared" si="8"/>
        <v>1753388</v>
      </c>
      <c r="CE34" s="73">
        <f t="shared" si="8"/>
        <v>183372.19999999998</v>
      </c>
      <c r="CF34" s="73">
        <f t="shared" si="8"/>
        <v>228017</v>
      </c>
      <c r="CG34" s="73">
        <f t="shared" si="8"/>
        <v>934839</v>
      </c>
      <c r="CH34" s="73">
        <f aca="true" t="shared" si="9" ref="CH34:CO34">SUM(CH6:CH15,CH16,CH19:CH21)</f>
        <v>2399028</v>
      </c>
      <c r="CI34" s="73">
        <f t="shared" si="9"/>
        <v>273810.74</v>
      </c>
      <c r="CJ34" s="73">
        <f t="shared" si="9"/>
        <v>234589</v>
      </c>
      <c r="CK34" s="73">
        <f t="shared" si="9"/>
        <v>1101361</v>
      </c>
      <c r="CL34" s="73">
        <f t="shared" si="9"/>
        <v>1630283</v>
      </c>
      <c r="CM34" s="73">
        <f t="shared" si="9"/>
        <v>100100.84000000001</v>
      </c>
      <c r="CN34" s="73">
        <f t="shared" si="9"/>
        <v>153173</v>
      </c>
      <c r="CO34" s="73">
        <f t="shared" si="9"/>
        <v>1693324</v>
      </c>
    </row>
    <row r="35" spans="1:93" s="74" customFormat="1" ht="21.75" customHeight="1" hidden="1" thickBot="1">
      <c r="A35" s="21" t="s">
        <v>80</v>
      </c>
      <c r="B35" s="75">
        <f>B34/B33</f>
        <v>0.7971774716157174</v>
      </c>
      <c r="C35" s="75">
        <f aca="true" t="shared" si="10" ref="C35:BM35">C34/C33</f>
        <v>0.9314951255022522</v>
      </c>
      <c r="D35" s="75">
        <f t="shared" si="10"/>
        <v>0.9341317700000527</v>
      </c>
      <c r="E35" s="75">
        <f t="shared" si="10"/>
        <v>0.9376569544038001</v>
      </c>
      <c r="F35" s="75">
        <f t="shared" si="10"/>
        <v>0.8277645630228527</v>
      </c>
      <c r="G35" s="75">
        <f t="shared" si="10"/>
        <v>0.9323676557979164</v>
      </c>
      <c r="H35" s="75">
        <f t="shared" si="10"/>
        <v>0.2554564172706198</v>
      </c>
      <c r="I35" s="75">
        <f t="shared" si="10"/>
        <v>0.8993759132256625</v>
      </c>
      <c r="J35" s="75">
        <f t="shared" si="10"/>
        <v>0.819911270503202</v>
      </c>
      <c r="K35" s="75">
        <f t="shared" si="10"/>
        <v>0.952976382782003</v>
      </c>
      <c r="L35" s="75">
        <f t="shared" si="10"/>
        <v>0.747778918246518</v>
      </c>
      <c r="M35" s="75">
        <f t="shared" si="10"/>
        <v>0.867925460093664</v>
      </c>
      <c r="N35" s="75">
        <f t="shared" si="10"/>
        <v>0.7934541272718835</v>
      </c>
      <c r="O35" s="75">
        <f t="shared" si="10"/>
        <v>0.9577138242484492</v>
      </c>
      <c r="P35" s="75">
        <f t="shared" si="10"/>
        <v>0.9990196885857997</v>
      </c>
      <c r="Q35" s="75">
        <f t="shared" si="10"/>
        <v>0.8379696605428233</v>
      </c>
      <c r="R35" s="75">
        <f t="shared" si="10"/>
        <v>0.7430420749524754</v>
      </c>
      <c r="S35" s="75">
        <f t="shared" si="10"/>
        <v>0.9817413101755067</v>
      </c>
      <c r="T35" s="75">
        <f t="shared" si="10"/>
        <v>0.9871367200602267</v>
      </c>
      <c r="U35" s="75">
        <f t="shared" si="10"/>
        <v>0.9840346861088418</v>
      </c>
      <c r="V35" s="75">
        <f t="shared" si="10"/>
        <v>0.7527101918907397</v>
      </c>
      <c r="W35" s="75">
        <f t="shared" si="10"/>
        <v>0.9854339479408123</v>
      </c>
      <c r="X35" s="75">
        <f t="shared" si="10"/>
        <v>1</v>
      </c>
      <c r="Y35" s="75">
        <f t="shared" si="10"/>
        <v>0.6945190804839928</v>
      </c>
      <c r="Z35" s="75">
        <f t="shared" si="10"/>
        <v>0.7133542002738625</v>
      </c>
      <c r="AA35" s="75">
        <f t="shared" si="10"/>
        <v>0.9867176196312306</v>
      </c>
      <c r="AB35" s="75">
        <f t="shared" si="10"/>
        <v>0.9990031717263254</v>
      </c>
      <c r="AC35" s="75">
        <f t="shared" si="10"/>
        <v>0.994393955842202</v>
      </c>
      <c r="AD35" s="75">
        <f t="shared" si="10"/>
        <v>0.7686375869572853</v>
      </c>
      <c r="AE35" s="75">
        <f t="shared" si="10"/>
        <v>0.9872279135110344</v>
      </c>
      <c r="AF35" s="75">
        <f t="shared" si="10"/>
        <v>0.993581520520296</v>
      </c>
      <c r="AG35" s="75">
        <f t="shared" si="10"/>
        <v>0.8505898846186027</v>
      </c>
      <c r="AH35" s="75">
        <f t="shared" si="10"/>
        <v>0.8420586749188099</v>
      </c>
      <c r="AI35" s="75">
        <f t="shared" si="10"/>
        <v>0.9722622565370461</v>
      </c>
      <c r="AJ35" s="75">
        <f t="shared" si="10"/>
        <v>0.9598631873415508</v>
      </c>
      <c r="AK35" s="75">
        <f t="shared" si="10"/>
        <v>0.8562247589219484</v>
      </c>
      <c r="AL35" s="75">
        <f t="shared" si="10"/>
        <v>0.832510616418493</v>
      </c>
      <c r="AM35" s="75">
        <f t="shared" si="10"/>
        <v>0.9747062635666803</v>
      </c>
      <c r="AN35" s="75">
        <f t="shared" si="10"/>
        <v>0.8691210436813117</v>
      </c>
      <c r="AO35" s="75">
        <f t="shared" si="10"/>
        <v>0.910461310772564</v>
      </c>
      <c r="AP35" s="75">
        <f t="shared" si="10"/>
        <v>0.8332534736774305</v>
      </c>
      <c r="AQ35" s="75">
        <f t="shared" si="10"/>
        <v>0.958269368210462</v>
      </c>
      <c r="AR35" s="75">
        <f t="shared" si="10"/>
        <v>0.8365915391105219</v>
      </c>
      <c r="AS35" s="75">
        <f t="shared" si="10"/>
        <v>0.9825752069962652</v>
      </c>
      <c r="AT35" s="75">
        <f t="shared" si="10"/>
        <v>0.7407101116261241</v>
      </c>
      <c r="AU35" s="75">
        <f t="shared" si="10"/>
        <v>0.9807288289645123</v>
      </c>
      <c r="AV35" s="75">
        <f t="shared" si="10"/>
        <v>0.9715327400805848</v>
      </c>
      <c r="AW35" s="75">
        <f t="shared" si="10"/>
        <v>0.6840040801186944</v>
      </c>
      <c r="AX35" s="75">
        <f t="shared" si="10"/>
        <v>0.8398309805363872</v>
      </c>
      <c r="AY35" s="75">
        <f t="shared" si="10"/>
        <v>0.9696100461290132</v>
      </c>
      <c r="AZ35" s="75">
        <f t="shared" si="10"/>
        <v>0.9429353000273031</v>
      </c>
      <c r="BA35" s="75">
        <f t="shared" si="10"/>
        <v>0.9945730877423624</v>
      </c>
      <c r="BB35" s="75">
        <f t="shared" si="10"/>
        <v>0.7941698786219021</v>
      </c>
      <c r="BC35" s="75">
        <f t="shared" si="10"/>
        <v>0.9837176414314927</v>
      </c>
      <c r="BD35" s="75">
        <f t="shared" si="10"/>
        <v>0.9136161970522758</v>
      </c>
      <c r="BE35" s="75">
        <f t="shared" si="10"/>
        <v>0.9568659645549014</v>
      </c>
      <c r="BF35" s="75">
        <f t="shared" si="10"/>
        <v>0.7772400413163039</v>
      </c>
      <c r="BG35" s="75">
        <f t="shared" si="10"/>
        <v>0.9867485087122501</v>
      </c>
      <c r="BH35" s="75">
        <f t="shared" si="10"/>
        <v>0.9948279273930956</v>
      </c>
      <c r="BI35" s="75">
        <f t="shared" si="10"/>
        <v>0.9963865088743927</v>
      </c>
      <c r="BJ35" s="75">
        <f t="shared" si="10"/>
        <v>0.8058407287466267</v>
      </c>
      <c r="BK35" s="75">
        <f t="shared" si="10"/>
        <v>0.9786971206095086</v>
      </c>
      <c r="BL35" s="75">
        <f t="shared" si="10"/>
        <v>0.853544337751773</v>
      </c>
      <c r="BM35" s="75">
        <f t="shared" si="10"/>
        <v>0.9868730673522822</v>
      </c>
      <c r="BN35" s="75">
        <f aca="true" t="shared" si="11" ref="BN35:BU35">BN34/BN33</f>
        <v>0.8282141941537879</v>
      </c>
      <c r="BO35" s="75">
        <f t="shared" si="11"/>
        <v>0.976808856400298</v>
      </c>
      <c r="BP35" s="75">
        <f t="shared" si="11"/>
        <v>0.8918318531054176</v>
      </c>
      <c r="BQ35" s="75">
        <f t="shared" si="11"/>
        <v>1</v>
      </c>
      <c r="BR35" s="75">
        <f t="shared" si="11"/>
        <v>0.8373971266970123</v>
      </c>
      <c r="BS35" s="75">
        <f t="shared" si="11"/>
        <v>0.9807629574477877</v>
      </c>
      <c r="BT35" s="75">
        <f t="shared" si="11"/>
        <v>0.8935658510126595</v>
      </c>
      <c r="BU35" s="75">
        <f t="shared" si="11"/>
        <v>0.9527273015606912</v>
      </c>
      <c r="BV35" s="75">
        <f aca="true" t="shared" si="12" ref="BV35:CC35">BV34/BV33</f>
        <v>0.8485596861499515</v>
      </c>
      <c r="BW35" s="75">
        <f t="shared" si="12"/>
        <v>0.9853184940746256</v>
      </c>
      <c r="BX35" s="75">
        <f t="shared" si="12"/>
        <v>0.8945748848914691</v>
      </c>
      <c r="BY35" s="75">
        <f t="shared" si="12"/>
        <v>0.9860151028645985</v>
      </c>
      <c r="BZ35" s="75">
        <f t="shared" si="12"/>
        <v>0.823804500597862</v>
      </c>
      <c r="CA35" s="75">
        <f t="shared" si="12"/>
        <v>0.984499555638895</v>
      </c>
      <c r="CB35" s="75">
        <f t="shared" si="12"/>
        <v>0.8632910246279468</v>
      </c>
      <c r="CC35" s="75">
        <f t="shared" si="12"/>
        <v>0.9999404143881377</v>
      </c>
      <c r="CD35" s="75">
        <f>CD34/CD33</f>
        <v>0.8357896201978948</v>
      </c>
      <c r="CE35" s="75">
        <f>CE34/CE33</f>
        <v>0.9867902885114815</v>
      </c>
      <c r="CF35" s="75">
        <f>CF34/CF33</f>
        <v>0.5607922321309992</v>
      </c>
      <c r="CG35" s="75">
        <f>CG34/CG33</f>
        <v>0.9989261030684601</v>
      </c>
      <c r="CH35" s="75">
        <f aca="true" t="shared" si="13" ref="CH35:CO35">CH34/CH33</f>
        <v>0.9224823907511357</v>
      </c>
      <c r="CI35" s="75">
        <f t="shared" si="13"/>
        <v>0.9915889179907736</v>
      </c>
      <c r="CJ35" s="75">
        <f t="shared" si="13"/>
        <v>0.8944492740361152</v>
      </c>
      <c r="CK35" s="75">
        <f t="shared" si="13"/>
        <v>0.9821864276184836</v>
      </c>
      <c r="CL35" s="75">
        <f t="shared" si="13"/>
        <v>0.9085180797150312</v>
      </c>
      <c r="CM35" s="75">
        <f t="shared" si="13"/>
        <v>0.9718621567333512</v>
      </c>
      <c r="CN35" s="75">
        <f t="shared" si="13"/>
        <v>0.9104217683840137</v>
      </c>
      <c r="CO35" s="75">
        <f t="shared" si="13"/>
        <v>0.9915508858716688</v>
      </c>
    </row>
    <row r="36" spans="1:93" s="74" customFormat="1" ht="21.75" customHeight="1" hidden="1" thickBot="1">
      <c r="A36" s="21" t="s">
        <v>81</v>
      </c>
      <c r="B36" s="73">
        <f>SUM(B23:B27)</f>
        <v>572755</v>
      </c>
      <c r="C36" s="73">
        <f aca="true" t="shared" si="14" ref="C36:BM36">SUM(C23:C27)</f>
        <v>16406.721384</v>
      </c>
      <c r="D36" s="73">
        <f t="shared" si="14"/>
        <v>751.7686</v>
      </c>
      <c r="E36" s="73">
        <f t="shared" si="14"/>
        <v>12363</v>
      </c>
      <c r="F36" s="73">
        <f t="shared" si="14"/>
        <v>493031</v>
      </c>
      <c r="G36" s="73">
        <f t="shared" si="14"/>
        <v>22704.491974</v>
      </c>
      <c r="H36" s="73">
        <f t="shared" si="14"/>
        <v>73831.6862</v>
      </c>
      <c r="I36" s="73">
        <f t="shared" si="14"/>
        <v>72378</v>
      </c>
      <c r="J36" s="73">
        <f t="shared" si="14"/>
        <v>411164</v>
      </c>
      <c r="K36" s="73">
        <f t="shared" si="14"/>
        <v>15110.063848000002</v>
      </c>
      <c r="L36" s="73">
        <f t="shared" si="14"/>
        <v>37105</v>
      </c>
      <c r="M36" s="73">
        <f t="shared" si="14"/>
        <v>40783.3424</v>
      </c>
      <c r="N36" s="73">
        <f t="shared" si="14"/>
        <v>582997</v>
      </c>
      <c r="O36" s="73">
        <f t="shared" si="14"/>
        <v>11106.99526</v>
      </c>
      <c r="P36" s="73">
        <f t="shared" si="14"/>
        <v>147.7082</v>
      </c>
      <c r="Q36" s="73">
        <f t="shared" si="14"/>
        <v>126108</v>
      </c>
      <c r="R36" s="73">
        <f t="shared" si="14"/>
        <v>664366</v>
      </c>
      <c r="S36" s="73">
        <f t="shared" si="14"/>
        <v>4942.0297740000005</v>
      </c>
      <c r="T36" s="73">
        <f t="shared" si="14"/>
        <v>1124</v>
      </c>
      <c r="U36" s="73">
        <f t="shared" si="14"/>
        <v>4856.7682</v>
      </c>
      <c r="V36" s="73">
        <f t="shared" si="14"/>
        <v>567312</v>
      </c>
      <c r="W36" s="73">
        <f t="shared" si="14"/>
        <v>4650.82416</v>
      </c>
      <c r="X36" s="73">
        <f t="shared" si="14"/>
        <v>0</v>
      </c>
      <c r="Y36" s="73">
        <f t="shared" si="14"/>
        <v>86975</v>
      </c>
      <c r="Z36" s="73">
        <f t="shared" si="14"/>
        <v>670083</v>
      </c>
      <c r="AA36" s="73">
        <f t="shared" si="14"/>
        <v>3249.9551820000006</v>
      </c>
      <c r="AB36" s="73">
        <f t="shared" si="14"/>
        <v>198</v>
      </c>
      <c r="AC36" s="73">
        <f t="shared" si="14"/>
        <v>2522</v>
      </c>
      <c r="AD36" s="73">
        <f t="shared" si="14"/>
        <v>553281</v>
      </c>
      <c r="AE36" s="73">
        <f t="shared" si="14"/>
        <v>3139.526768</v>
      </c>
      <c r="AF36" s="73">
        <f t="shared" si="14"/>
        <v>1431</v>
      </c>
      <c r="AG36" s="73">
        <f t="shared" si="14"/>
        <v>87498</v>
      </c>
      <c r="AH36" s="73">
        <f t="shared" si="14"/>
        <v>376664</v>
      </c>
      <c r="AI36" s="73">
        <f t="shared" si="14"/>
        <v>6152.48745</v>
      </c>
      <c r="AJ36" s="73">
        <f t="shared" si="14"/>
        <v>11019</v>
      </c>
      <c r="AK36" s="73">
        <f t="shared" si="14"/>
        <v>69777</v>
      </c>
      <c r="AL36" s="73">
        <f t="shared" si="14"/>
        <v>427384</v>
      </c>
      <c r="AM36" s="73">
        <f t="shared" si="14"/>
        <v>6382.6035980000015</v>
      </c>
      <c r="AN36" s="73">
        <f t="shared" si="14"/>
        <v>20626</v>
      </c>
      <c r="AO36" s="73">
        <f t="shared" si="14"/>
        <v>23474</v>
      </c>
      <c r="AP36" s="73">
        <f t="shared" si="14"/>
        <v>383147</v>
      </c>
      <c r="AQ36" s="73">
        <f t="shared" si="14"/>
        <v>8041.697374</v>
      </c>
      <c r="AR36" s="73">
        <f t="shared" si="14"/>
        <v>27116</v>
      </c>
      <c r="AS36" s="73">
        <f t="shared" si="14"/>
        <v>7936</v>
      </c>
      <c r="AT36" s="73">
        <f t="shared" si="14"/>
        <v>610141</v>
      </c>
      <c r="AU36" s="73">
        <f t="shared" si="14"/>
        <v>4348.286902</v>
      </c>
      <c r="AV36" s="73">
        <f t="shared" si="14"/>
        <v>3941.3886</v>
      </c>
      <c r="AW36" s="73">
        <f t="shared" si="14"/>
        <v>170385</v>
      </c>
      <c r="AX36" s="73">
        <f t="shared" si="14"/>
        <v>374089</v>
      </c>
      <c r="AY36" s="73">
        <f t="shared" si="14"/>
        <v>7783.472576000001</v>
      </c>
      <c r="AZ36" s="73">
        <f t="shared" si="14"/>
        <v>8631</v>
      </c>
      <c r="BA36" s="73">
        <f t="shared" si="14"/>
        <v>2065.5314</v>
      </c>
      <c r="BB36" s="73">
        <f t="shared" si="14"/>
        <v>487027</v>
      </c>
      <c r="BC36" s="73">
        <f t="shared" si="14"/>
        <v>3825.9289780000004</v>
      </c>
      <c r="BD36" s="73">
        <f t="shared" si="14"/>
        <v>30909.082</v>
      </c>
      <c r="BE36" s="73">
        <f t="shared" si="14"/>
        <v>21841</v>
      </c>
      <c r="BF36" s="73">
        <f t="shared" si="14"/>
        <v>451814</v>
      </c>
      <c r="BG36" s="73">
        <f t="shared" si="14"/>
        <v>2682.0628</v>
      </c>
      <c r="BH36" s="73">
        <f t="shared" si="14"/>
        <v>1150</v>
      </c>
      <c r="BI36" s="73">
        <f t="shared" si="14"/>
        <v>1905</v>
      </c>
      <c r="BJ36" s="73">
        <f t="shared" si="14"/>
        <v>381974</v>
      </c>
      <c r="BK36" s="73">
        <f t="shared" si="14"/>
        <v>3970.5564160000004</v>
      </c>
      <c r="BL36" s="73">
        <f t="shared" si="14"/>
        <v>32905.691</v>
      </c>
      <c r="BM36" s="73">
        <f t="shared" si="14"/>
        <v>10278</v>
      </c>
      <c r="BN36" s="73">
        <f aca="true" t="shared" si="15" ref="BN36:BY36">SUM(BN23:BN27)</f>
        <v>347097</v>
      </c>
      <c r="BO36" s="73">
        <f t="shared" si="15"/>
        <v>3953</v>
      </c>
      <c r="BP36" s="73">
        <f t="shared" si="15"/>
        <v>24736</v>
      </c>
      <c r="BQ36" s="73">
        <f t="shared" si="15"/>
        <v>0</v>
      </c>
      <c r="BR36" s="73">
        <f t="shared" si="15"/>
        <v>327503</v>
      </c>
      <c r="BS36" s="73">
        <f t="shared" si="15"/>
        <v>2670.79</v>
      </c>
      <c r="BT36" s="73">
        <f t="shared" si="15"/>
        <v>20800</v>
      </c>
      <c r="BU36" s="73">
        <f t="shared" si="15"/>
        <v>41733</v>
      </c>
      <c r="BV36" s="73">
        <f t="shared" si="15"/>
        <v>308198</v>
      </c>
      <c r="BW36" s="73">
        <f t="shared" si="15"/>
        <v>4307.74</v>
      </c>
      <c r="BX36" s="73">
        <f t="shared" si="15"/>
        <v>18432</v>
      </c>
      <c r="BY36" s="73">
        <f t="shared" si="15"/>
        <v>10858</v>
      </c>
      <c r="BZ36" s="73">
        <f aca="true" t="shared" si="16" ref="BZ36:CG36">SUM(BZ23:BZ27)</f>
        <v>352767</v>
      </c>
      <c r="CA36" s="73">
        <f t="shared" si="16"/>
        <v>4096.780000000001</v>
      </c>
      <c r="CB36" s="73">
        <f t="shared" si="16"/>
        <v>33217</v>
      </c>
      <c r="CC36" s="73">
        <f t="shared" si="16"/>
        <v>40</v>
      </c>
      <c r="CD36" s="73">
        <f t="shared" si="16"/>
        <v>344494</v>
      </c>
      <c r="CE36" s="73">
        <f t="shared" si="16"/>
        <v>2454.7200000000003</v>
      </c>
      <c r="CF36" s="73">
        <f t="shared" si="16"/>
        <v>178581</v>
      </c>
      <c r="CG36" s="73">
        <f t="shared" si="16"/>
        <v>1005</v>
      </c>
      <c r="CH36" s="73">
        <f aca="true" t="shared" si="17" ref="CH36:CO36">SUM(CH23:CH27)</f>
        <v>201594</v>
      </c>
      <c r="CI36" s="73">
        <f t="shared" si="17"/>
        <v>2322.58</v>
      </c>
      <c r="CJ36" s="73">
        <f t="shared" si="17"/>
        <v>27683</v>
      </c>
      <c r="CK36" s="73">
        <f t="shared" si="17"/>
        <v>19975</v>
      </c>
      <c r="CL36" s="73">
        <f t="shared" si="17"/>
        <v>164159</v>
      </c>
      <c r="CM36" s="73">
        <f t="shared" si="17"/>
        <v>2898.17</v>
      </c>
      <c r="CN36" s="73">
        <f t="shared" si="17"/>
        <v>15071</v>
      </c>
      <c r="CO36" s="73">
        <f t="shared" si="17"/>
        <v>14429</v>
      </c>
    </row>
    <row r="37" spans="1:93" s="74" customFormat="1" ht="24" customHeight="1" hidden="1" thickBot="1">
      <c r="A37" s="22" t="s">
        <v>82</v>
      </c>
      <c r="B37" s="76">
        <f>B36/B33</f>
        <v>0.20282252838428258</v>
      </c>
      <c r="C37" s="76">
        <f aca="true" t="shared" si="18" ref="C37:BM37">C36/C33</f>
        <v>0.06850487449774786</v>
      </c>
      <c r="D37" s="76">
        <f t="shared" si="18"/>
        <v>0.06586822999994743</v>
      </c>
      <c r="E37" s="76">
        <f t="shared" si="18"/>
        <v>0.06234304559619981</v>
      </c>
      <c r="F37" s="76">
        <f t="shared" si="18"/>
        <v>0.17223543697714722</v>
      </c>
      <c r="G37" s="76">
        <f t="shared" si="18"/>
        <v>0.06763234420208358</v>
      </c>
      <c r="H37" s="76">
        <f t="shared" si="18"/>
        <v>0.7445435827293803</v>
      </c>
      <c r="I37" s="76">
        <f t="shared" si="18"/>
        <v>0.10062408677433751</v>
      </c>
      <c r="J37" s="76">
        <f t="shared" si="18"/>
        <v>0.18008872949679802</v>
      </c>
      <c r="K37" s="76">
        <f t="shared" si="18"/>
        <v>0.047023617217996916</v>
      </c>
      <c r="L37" s="76">
        <f t="shared" si="18"/>
        <v>0.252221081753482</v>
      </c>
      <c r="M37" s="76">
        <f t="shared" si="18"/>
        <v>0.13207453990633616</v>
      </c>
      <c r="N37" s="76">
        <f t="shared" si="18"/>
        <v>0.20654587272811656</v>
      </c>
      <c r="O37" s="76">
        <f t="shared" si="18"/>
        <v>0.04228617575155066</v>
      </c>
      <c r="P37" s="76">
        <f t="shared" si="18"/>
        <v>0.0009803114142002904</v>
      </c>
      <c r="Q37" s="76">
        <f t="shared" si="18"/>
        <v>0.16203033945717674</v>
      </c>
      <c r="R37" s="76">
        <f t="shared" si="18"/>
        <v>0.25695792504752457</v>
      </c>
      <c r="S37" s="76">
        <f t="shared" si="18"/>
        <v>0.018258689824493298</v>
      </c>
      <c r="T37" s="76">
        <f t="shared" si="18"/>
        <v>0.0128632799397733</v>
      </c>
      <c r="U37" s="76">
        <f t="shared" si="18"/>
        <v>0.015965313891158184</v>
      </c>
      <c r="V37" s="76">
        <f t="shared" si="18"/>
        <v>0.2472898081092603</v>
      </c>
      <c r="W37" s="76">
        <f t="shared" si="18"/>
        <v>0.014566052059187682</v>
      </c>
      <c r="X37" s="76">
        <f t="shared" si="18"/>
        <v>0</v>
      </c>
      <c r="Y37" s="76">
        <f t="shared" si="18"/>
        <v>0.30548091951600725</v>
      </c>
      <c r="Z37" s="76">
        <f t="shared" si="18"/>
        <v>0.28664579972613746</v>
      </c>
      <c r="AA37" s="76">
        <f t="shared" si="18"/>
        <v>0.013282380368769319</v>
      </c>
      <c r="AB37" s="76">
        <f t="shared" si="18"/>
        <v>0.0009968282736746714</v>
      </c>
      <c r="AC37" s="76">
        <f t="shared" si="18"/>
        <v>0.005606044157797987</v>
      </c>
      <c r="AD37" s="76">
        <f t="shared" si="18"/>
        <v>0.23136241304271465</v>
      </c>
      <c r="AE37" s="76">
        <f t="shared" si="18"/>
        <v>0.012772086488965377</v>
      </c>
      <c r="AF37" s="76">
        <f t="shared" si="18"/>
        <v>0.00641847947970397</v>
      </c>
      <c r="AG37" s="76">
        <f t="shared" si="18"/>
        <v>0.14941011538139726</v>
      </c>
      <c r="AH37" s="76">
        <f t="shared" si="18"/>
        <v>0.1579413250811901</v>
      </c>
      <c r="AI37" s="76">
        <f t="shared" si="18"/>
        <v>0.02773774346295377</v>
      </c>
      <c r="AJ37" s="76">
        <f t="shared" si="18"/>
        <v>0.040136812658449164</v>
      </c>
      <c r="AK37" s="76">
        <f t="shared" si="18"/>
        <v>0.1437752410780516</v>
      </c>
      <c r="AL37" s="76">
        <f t="shared" si="18"/>
        <v>0.16748938358150697</v>
      </c>
      <c r="AM37" s="76">
        <f t="shared" si="18"/>
        <v>0.02529373643331958</v>
      </c>
      <c r="AN37" s="76">
        <f t="shared" si="18"/>
        <v>0.1308789563186883</v>
      </c>
      <c r="AO37" s="76">
        <f t="shared" si="18"/>
        <v>0.08953868922743605</v>
      </c>
      <c r="AP37" s="76">
        <f t="shared" si="18"/>
        <v>0.16674652632256948</v>
      </c>
      <c r="AQ37" s="76">
        <f t="shared" si="18"/>
        <v>0.041730631789537884</v>
      </c>
      <c r="AR37" s="76">
        <f t="shared" si="18"/>
        <v>0.16340846088947814</v>
      </c>
      <c r="AS37" s="76">
        <f t="shared" si="18"/>
        <v>0.017424793003734826</v>
      </c>
      <c r="AT37" s="76">
        <f t="shared" si="18"/>
        <v>0.2592898883738759</v>
      </c>
      <c r="AU37" s="76">
        <f t="shared" si="18"/>
        <v>0.019271171035487755</v>
      </c>
      <c r="AV37" s="76">
        <f t="shared" si="18"/>
        <v>0.02846725991941522</v>
      </c>
      <c r="AW37" s="76">
        <f t="shared" si="18"/>
        <v>0.31599591988130565</v>
      </c>
      <c r="AX37" s="76">
        <f t="shared" si="18"/>
        <v>0.1601690194636128</v>
      </c>
      <c r="AY37" s="76">
        <f t="shared" si="18"/>
        <v>0.03038995387098665</v>
      </c>
      <c r="AZ37" s="76">
        <f t="shared" si="18"/>
        <v>0.05706469997269688</v>
      </c>
      <c r="BA37" s="76">
        <f t="shared" si="18"/>
        <v>0.0054269122576376255</v>
      </c>
      <c r="BB37" s="76">
        <f t="shared" si="18"/>
        <v>0.20583012137809784</v>
      </c>
      <c r="BC37" s="76">
        <f t="shared" si="18"/>
        <v>0.016282358568507307</v>
      </c>
      <c r="BD37" s="76">
        <f t="shared" si="18"/>
        <v>0.08638380294772424</v>
      </c>
      <c r="BE37" s="76">
        <f t="shared" si="18"/>
        <v>0.043134035445098674</v>
      </c>
      <c r="BF37" s="76">
        <f t="shared" si="18"/>
        <v>0.22275995868369608</v>
      </c>
      <c r="BG37" s="76">
        <f t="shared" si="18"/>
        <v>0.013251491287749901</v>
      </c>
      <c r="BH37" s="76">
        <f t="shared" si="18"/>
        <v>0.005172072606904492</v>
      </c>
      <c r="BI37" s="76">
        <f t="shared" si="18"/>
        <v>0.0036134911256072277</v>
      </c>
      <c r="BJ37" s="76">
        <f t="shared" si="18"/>
        <v>0.19415927125337323</v>
      </c>
      <c r="BK37" s="76">
        <f t="shared" si="18"/>
        <v>0.02130287939049134</v>
      </c>
      <c r="BL37" s="76">
        <f t="shared" si="18"/>
        <v>0.14645566224822706</v>
      </c>
      <c r="BM37" s="76">
        <f t="shared" si="18"/>
        <v>0.013126932647717856</v>
      </c>
      <c r="BN37" s="76">
        <f aca="true" t="shared" si="19" ref="BN37:BU37">BN36/BN33</f>
        <v>0.17178580584621203</v>
      </c>
      <c r="BO37" s="76">
        <f t="shared" si="19"/>
        <v>0.02319114359970197</v>
      </c>
      <c r="BP37" s="76">
        <f t="shared" si="19"/>
        <v>0.10816814689458241</v>
      </c>
      <c r="BQ37" s="76">
        <f t="shared" si="19"/>
        <v>0</v>
      </c>
      <c r="BR37" s="76">
        <f t="shared" si="19"/>
        <v>0.1626028733029877</v>
      </c>
      <c r="BS37" s="76">
        <f t="shared" si="19"/>
        <v>0.01923704255221222</v>
      </c>
      <c r="BT37" s="76">
        <f t="shared" si="19"/>
        <v>0.10643414898734048</v>
      </c>
      <c r="BU37" s="76">
        <f t="shared" si="19"/>
        <v>0.04727269843930885</v>
      </c>
      <c r="BV37" s="76">
        <f aca="true" t="shared" si="20" ref="BV37:CC37">BV36/BV33</f>
        <v>0.15144031385004855</v>
      </c>
      <c r="BW37" s="76">
        <f t="shared" si="20"/>
        <v>0.014681505925374455</v>
      </c>
      <c r="BX37" s="76">
        <f t="shared" si="20"/>
        <v>0.1054251151085309</v>
      </c>
      <c r="BY37" s="76">
        <f t="shared" si="20"/>
        <v>0.013984897135401573</v>
      </c>
      <c r="BZ37" s="76">
        <f t="shared" si="20"/>
        <v>0.1761954994021379</v>
      </c>
      <c r="CA37" s="76">
        <f t="shared" si="20"/>
        <v>0.015500444361105066</v>
      </c>
      <c r="CB37" s="76">
        <f t="shared" si="20"/>
        <v>0.1367089753720532</v>
      </c>
      <c r="CC37" s="76">
        <f t="shared" si="20"/>
        <v>5.958561186230361E-05</v>
      </c>
      <c r="CD37" s="76">
        <f>CD36/CD33</f>
        <v>0.16421037980210518</v>
      </c>
      <c r="CE37" s="76">
        <f>CE36/CE33</f>
        <v>0.013209711488518459</v>
      </c>
      <c r="CF37" s="76">
        <f>CF36/CF33</f>
        <v>0.43920776786900084</v>
      </c>
      <c r="CG37" s="76">
        <f>CG36/CG33</f>
        <v>0.0010738969315398721</v>
      </c>
      <c r="CH37" s="76">
        <f aca="true" t="shared" si="21" ref="CH37:CO37">CH36/CH33</f>
        <v>0.0775176092488643</v>
      </c>
      <c r="CI37" s="76">
        <f t="shared" si="21"/>
        <v>0.008411082009226559</v>
      </c>
      <c r="CJ37" s="76">
        <f t="shared" si="21"/>
        <v>0.10555072596388482</v>
      </c>
      <c r="CK37" s="76">
        <f t="shared" si="21"/>
        <v>0.017813572381516336</v>
      </c>
      <c r="CL37" s="76">
        <f t="shared" si="21"/>
        <v>0.0914819202849688</v>
      </c>
      <c r="CM37" s="76">
        <f t="shared" si="21"/>
        <v>0.028137843266648872</v>
      </c>
      <c r="CN37" s="76">
        <f t="shared" si="21"/>
        <v>0.08957823161598631</v>
      </c>
      <c r="CO37" s="76">
        <f t="shared" si="21"/>
        <v>0.008449114128331206</v>
      </c>
    </row>
    <row r="38" spans="1:93" s="74" customFormat="1" ht="24" customHeight="1" hidden="1" thickBot="1">
      <c r="A38" s="21" t="s">
        <v>88</v>
      </c>
      <c r="B38" s="73">
        <f>SUM(B53,B28:B29)</f>
        <v>1434088</v>
      </c>
      <c r="C38" s="73">
        <f aca="true" t="shared" si="22" ref="C38:BN38">SUM(C53,C28:C29)</f>
        <v>8053.6242600000005</v>
      </c>
      <c r="D38" s="73">
        <f t="shared" si="22"/>
        <v>251.32440000000003</v>
      </c>
      <c r="E38" s="73">
        <f t="shared" si="22"/>
        <v>0</v>
      </c>
      <c r="F38" s="73">
        <f t="shared" si="22"/>
        <v>461773</v>
      </c>
      <c r="G38" s="73">
        <f t="shared" si="22"/>
        <v>6451.10052</v>
      </c>
      <c r="H38" s="73">
        <f t="shared" si="22"/>
        <v>79</v>
      </c>
      <c r="I38" s="73">
        <f t="shared" si="22"/>
        <v>2156</v>
      </c>
      <c r="J38" s="73">
        <f t="shared" si="22"/>
        <v>709615</v>
      </c>
      <c r="K38" s="73">
        <f t="shared" si="22"/>
        <v>3751.1489460000003</v>
      </c>
      <c r="L38" s="73">
        <f t="shared" si="22"/>
        <v>146</v>
      </c>
      <c r="M38" s="73">
        <f t="shared" si="22"/>
        <v>3966.0754</v>
      </c>
      <c r="N38" s="73">
        <f t="shared" si="22"/>
        <v>1048868</v>
      </c>
      <c r="O38" s="73">
        <f t="shared" si="22"/>
        <v>3393.6069180000004</v>
      </c>
      <c r="P38" s="73">
        <f t="shared" si="22"/>
        <v>0</v>
      </c>
      <c r="Q38" s="73">
        <f t="shared" si="22"/>
        <v>0</v>
      </c>
      <c r="R38" s="73">
        <f t="shared" si="22"/>
        <v>1111059</v>
      </c>
      <c r="S38" s="73">
        <f t="shared" si="22"/>
        <v>3122.441118</v>
      </c>
      <c r="T38" s="73">
        <f t="shared" si="22"/>
        <v>136.6852</v>
      </c>
      <c r="U38" s="73">
        <f t="shared" si="22"/>
        <v>0</v>
      </c>
      <c r="V38" s="73">
        <f t="shared" si="22"/>
        <v>1210394</v>
      </c>
      <c r="W38" s="73">
        <f t="shared" si="22"/>
        <v>2952.2680440000004</v>
      </c>
      <c r="X38" s="73">
        <f t="shared" si="22"/>
        <v>178.57260000000002</v>
      </c>
      <c r="Y38" s="73">
        <f t="shared" si="22"/>
        <v>1967</v>
      </c>
      <c r="Z38" s="73">
        <f t="shared" si="22"/>
        <v>1345102</v>
      </c>
      <c r="AA38" s="73">
        <f t="shared" si="22"/>
        <v>4400.998888</v>
      </c>
      <c r="AB38" s="73">
        <f t="shared" si="22"/>
        <v>0</v>
      </c>
      <c r="AC38" s="73">
        <f t="shared" si="22"/>
        <v>0</v>
      </c>
      <c r="AD38" s="73">
        <f t="shared" si="22"/>
        <v>1364827</v>
      </c>
      <c r="AE38" s="73">
        <f t="shared" si="22"/>
        <v>1592.1841660000002</v>
      </c>
      <c r="AF38" s="73">
        <f t="shared" si="22"/>
        <v>9850</v>
      </c>
      <c r="AG38" s="73">
        <f t="shared" si="22"/>
        <v>1197</v>
      </c>
      <c r="AH38" s="73">
        <f t="shared" si="22"/>
        <v>1111298</v>
      </c>
      <c r="AI38" s="73">
        <f t="shared" si="22"/>
        <v>2341.4615680000006</v>
      </c>
      <c r="AJ38" s="73">
        <f t="shared" si="22"/>
        <v>15977</v>
      </c>
      <c r="AK38" s="73">
        <f t="shared" si="22"/>
        <v>0</v>
      </c>
      <c r="AL38" s="73">
        <f t="shared" si="22"/>
        <v>935845</v>
      </c>
      <c r="AM38" s="73">
        <f t="shared" si="22"/>
        <v>4611.714556</v>
      </c>
      <c r="AN38" s="73">
        <f t="shared" si="22"/>
        <v>14291</v>
      </c>
      <c r="AO38" s="73">
        <f t="shared" si="22"/>
        <v>0</v>
      </c>
      <c r="AP38" s="73">
        <f t="shared" si="22"/>
        <v>553627</v>
      </c>
      <c r="AQ38" s="73">
        <f t="shared" si="22"/>
        <v>13602.756782</v>
      </c>
      <c r="AR38" s="73">
        <f t="shared" si="22"/>
        <v>697</v>
      </c>
      <c r="AS38" s="73">
        <f t="shared" si="22"/>
        <v>3747</v>
      </c>
      <c r="AT38" s="73">
        <f t="shared" si="22"/>
        <v>633750</v>
      </c>
      <c r="AU38" s="73">
        <f t="shared" si="22"/>
        <v>3637.6883912979997</v>
      </c>
      <c r="AV38" s="73">
        <f t="shared" si="22"/>
        <v>30181</v>
      </c>
      <c r="AW38" s="73">
        <f t="shared" si="22"/>
        <v>15439</v>
      </c>
      <c r="AX38" s="73">
        <f t="shared" si="22"/>
        <v>519796</v>
      </c>
      <c r="AY38" s="73">
        <f t="shared" si="22"/>
        <v>1455.8076100000003</v>
      </c>
      <c r="AZ38" s="73">
        <f t="shared" si="22"/>
        <v>2533.3058</v>
      </c>
      <c r="BA38" s="73">
        <f t="shared" si="22"/>
        <v>3212</v>
      </c>
      <c r="BB38" s="73">
        <f t="shared" si="22"/>
        <v>673283</v>
      </c>
      <c r="BC38" s="73">
        <f t="shared" si="22"/>
        <v>740.326726</v>
      </c>
      <c r="BD38" s="73">
        <f t="shared" si="22"/>
        <v>4409</v>
      </c>
      <c r="BE38" s="73">
        <f t="shared" si="22"/>
        <v>121</v>
      </c>
      <c r="BF38" s="73">
        <f t="shared" si="22"/>
        <v>921361</v>
      </c>
      <c r="BG38" s="73">
        <f t="shared" si="22"/>
        <v>1105.099842</v>
      </c>
      <c r="BH38" s="73">
        <f t="shared" si="22"/>
        <v>1892</v>
      </c>
      <c r="BI38" s="73">
        <f t="shared" si="22"/>
        <v>0</v>
      </c>
      <c r="BJ38" s="73">
        <f t="shared" si="22"/>
        <v>622136</v>
      </c>
      <c r="BK38" s="73">
        <f t="shared" si="22"/>
        <v>1030.562316</v>
      </c>
      <c r="BL38" s="73">
        <f t="shared" si="22"/>
        <v>41819.123600000006</v>
      </c>
      <c r="BM38" s="73">
        <f t="shared" si="22"/>
        <v>6362.198600000001</v>
      </c>
      <c r="BN38" s="73">
        <f t="shared" si="22"/>
        <v>722434</v>
      </c>
      <c r="BO38" s="73">
        <f aca="true" t="shared" si="23" ref="BO38:BY38">SUM(BO53,BO28:BO29)</f>
        <v>2789</v>
      </c>
      <c r="BP38" s="73">
        <f t="shared" si="23"/>
        <v>9929</v>
      </c>
      <c r="BQ38" s="73">
        <f t="shared" si="23"/>
        <v>626</v>
      </c>
      <c r="BR38" s="73">
        <f t="shared" si="23"/>
        <v>429763</v>
      </c>
      <c r="BS38" s="73">
        <f t="shared" si="23"/>
        <v>1043</v>
      </c>
      <c r="BT38" s="73">
        <f t="shared" si="23"/>
        <v>32017</v>
      </c>
      <c r="BU38" s="73">
        <f t="shared" si="23"/>
        <v>12319</v>
      </c>
      <c r="BV38" s="73">
        <f t="shared" si="23"/>
        <v>370809</v>
      </c>
      <c r="BW38" s="73">
        <f t="shared" si="23"/>
        <v>1040.48</v>
      </c>
      <c r="BX38" s="73">
        <f t="shared" si="23"/>
        <v>21281</v>
      </c>
      <c r="BY38" s="73">
        <f t="shared" si="23"/>
        <v>5545</v>
      </c>
      <c r="BZ38" s="73">
        <f aca="true" t="shared" si="24" ref="BZ38:CG38">SUM(BZ53,BZ28:BZ29)</f>
        <v>455365</v>
      </c>
      <c r="CA38" s="73">
        <f t="shared" si="24"/>
        <v>1801.15</v>
      </c>
      <c r="CB38" s="73">
        <f t="shared" si="24"/>
        <v>231791</v>
      </c>
      <c r="CC38" s="73">
        <f t="shared" si="24"/>
        <v>44749</v>
      </c>
      <c r="CD38" s="73">
        <f t="shared" si="24"/>
        <v>641101</v>
      </c>
      <c r="CE38" s="73">
        <f t="shared" si="24"/>
        <v>1393.16</v>
      </c>
      <c r="CF38" s="73">
        <f t="shared" si="24"/>
        <v>139664</v>
      </c>
      <c r="CG38" s="73">
        <f t="shared" si="24"/>
        <v>165600</v>
      </c>
      <c r="CH38" s="73">
        <f aca="true" t="shared" si="25" ref="CH38:CO38">SUM(CH53,CH28:CH29)</f>
        <v>421928</v>
      </c>
      <c r="CI38" s="73">
        <f t="shared" si="25"/>
        <v>991.4000000000001</v>
      </c>
      <c r="CJ38" s="73">
        <f t="shared" si="25"/>
        <v>324100</v>
      </c>
      <c r="CK38" s="73">
        <f t="shared" si="25"/>
        <v>70530</v>
      </c>
      <c r="CL38" s="73">
        <f t="shared" si="25"/>
        <v>801353</v>
      </c>
      <c r="CM38" s="73">
        <f t="shared" si="25"/>
        <v>2671.78</v>
      </c>
      <c r="CN38" s="73">
        <f t="shared" si="25"/>
        <v>253973</v>
      </c>
      <c r="CO38" s="73">
        <f t="shared" si="25"/>
        <v>147362</v>
      </c>
    </row>
    <row r="39" spans="1:93" s="74" customFormat="1" ht="26.25" customHeight="1" hidden="1" thickBot="1">
      <c r="A39" s="21" t="s">
        <v>89</v>
      </c>
      <c r="B39" s="73">
        <f>B53</f>
        <v>66</v>
      </c>
      <c r="C39" s="73">
        <f>C53</f>
        <v>5874.994448</v>
      </c>
      <c r="D39" s="73">
        <f aca="true" t="shared" si="26" ref="D39:BO39">D53</f>
        <v>0</v>
      </c>
      <c r="E39" s="73">
        <f t="shared" si="26"/>
        <v>0</v>
      </c>
      <c r="F39" s="73">
        <f t="shared" si="26"/>
        <v>254</v>
      </c>
      <c r="G39" s="73">
        <f t="shared" si="26"/>
        <v>4218.72256</v>
      </c>
      <c r="H39" s="73">
        <f t="shared" si="26"/>
        <v>35</v>
      </c>
      <c r="I39" s="73">
        <f t="shared" si="26"/>
        <v>2156</v>
      </c>
      <c r="J39" s="73">
        <f t="shared" si="26"/>
        <v>0</v>
      </c>
      <c r="K39" s="73">
        <f t="shared" si="26"/>
        <v>2550.5899240000003</v>
      </c>
      <c r="L39" s="73">
        <f t="shared" si="26"/>
        <v>146</v>
      </c>
      <c r="M39" s="73">
        <f t="shared" si="26"/>
        <v>0</v>
      </c>
      <c r="N39" s="73">
        <f t="shared" si="26"/>
        <v>3</v>
      </c>
      <c r="O39" s="73">
        <f t="shared" si="26"/>
        <v>2948.9390980000003</v>
      </c>
      <c r="P39" s="73">
        <f t="shared" si="26"/>
        <v>0</v>
      </c>
      <c r="Q39" s="73">
        <f t="shared" si="26"/>
        <v>0</v>
      </c>
      <c r="R39" s="73">
        <f t="shared" si="26"/>
        <v>88</v>
      </c>
      <c r="S39" s="73">
        <f t="shared" si="26"/>
        <v>2358.084252</v>
      </c>
      <c r="T39" s="73">
        <f t="shared" si="26"/>
        <v>0</v>
      </c>
      <c r="U39" s="73">
        <f t="shared" si="26"/>
        <v>0</v>
      </c>
      <c r="V39" s="73">
        <f t="shared" si="26"/>
        <v>1155</v>
      </c>
      <c r="W39" s="73">
        <f t="shared" si="26"/>
        <v>2149.9920580000003</v>
      </c>
      <c r="X39" s="73">
        <f t="shared" si="26"/>
        <v>0</v>
      </c>
      <c r="Y39" s="73">
        <f t="shared" si="26"/>
        <v>1967</v>
      </c>
      <c r="Z39" s="73">
        <f t="shared" si="26"/>
        <v>294</v>
      </c>
      <c r="AA39" s="73">
        <f t="shared" si="26"/>
        <v>1593.462834</v>
      </c>
      <c r="AB39" s="73">
        <f t="shared" si="26"/>
        <v>0</v>
      </c>
      <c r="AC39" s="73">
        <f t="shared" si="26"/>
        <v>0</v>
      </c>
      <c r="AD39" s="73">
        <f t="shared" si="26"/>
        <v>27</v>
      </c>
      <c r="AE39" s="73">
        <f t="shared" si="26"/>
        <v>1342.4691240000002</v>
      </c>
      <c r="AF39" s="73">
        <f t="shared" si="26"/>
        <v>0</v>
      </c>
      <c r="AG39" s="73">
        <f t="shared" si="26"/>
        <v>1197</v>
      </c>
      <c r="AH39" s="73">
        <f t="shared" si="26"/>
        <v>183</v>
      </c>
      <c r="AI39" s="73">
        <f t="shared" si="26"/>
        <v>2184.3838180000002</v>
      </c>
      <c r="AJ39" s="73">
        <f t="shared" si="26"/>
        <v>18</v>
      </c>
      <c r="AK39" s="73">
        <f t="shared" si="26"/>
        <v>0</v>
      </c>
      <c r="AL39" s="73">
        <f t="shared" si="26"/>
        <v>1745</v>
      </c>
      <c r="AM39" s="73">
        <f t="shared" si="26"/>
        <v>4035.476208</v>
      </c>
      <c r="AN39" s="73">
        <f t="shared" si="26"/>
        <v>82</v>
      </c>
      <c r="AO39" s="73">
        <f t="shared" si="26"/>
        <v>0</v>
      </c>
      <c r="AP39" s="73">
        <f t="shared" si="26"/>
        <v>289</v>
      </c>
      <c r="AQ39" s="73">
        <f t="shared" si="26"/>
        <v>1927.503826</v>
      </c>
      <c r="AR39" s="73">
        <f t="shared" si="26"/>
        <v>0</v>
      </c>
      <c r="AS39" s="73">
        <f t="shared" si="26"/>
        <v>683</v>
      </c>
      <c r="AT39" s="73">
        <f t="shared" si="26"/>
        <v>488</v>
      </c>
      <c r="AU39" s="73">
        <f t="shared" si="26"/>
        <v>2400.456664</v>
      </c>
      <c r="AV39" s="73">
        <f t="shared" si="26"/>
        <v>0</v>
      </c>
      <c r="AW39" s="73">
        <f t="shared" si="26"/>
        <v>714</v>
      </c>
      <c r="AX39" s="73">
        <f t="shared" si="26"/>
        <v>1017</v>
      </c>
      <c r="AY39" s="73">
        <f t="shared" si="26"/>
        <v>1196.4364200000002</v>
      </c>
      <c r="AZ39" s="73">
        <f t="shared" si="26"/>
        <v>278</v>
      </c>
      <c r="BA39" s="73">
        <f t="shared" si="26"/>
        <v>3212</v>
      </c>
      <c r="BB39" s="73">
        <f t="shared" si="26"/>
        <v>1400</v>
      </c>
      <c r="BC39" s="73">
        <f t="shared" si="26"/>
        <v>676.305142</v>
      </c>
      <c r="BD39" s="73">
        <f t="shared" si="26"/>
        <v>0</v>
      </c>
      <c r="BE39" s="73">
        <f t="shared" si="26"/>
        <v>121</v>
      </c>
      <c r="BF39" s="73">
        <f t="shared" si="26"/>
        <v>641</v>
      </c>
      <c r="BG39" s="73">
        <f t="shared" si="26"/>
        <v>1073.552016</v>
      </c>
      <c r="BH39" s="73">
        <f t="shared" si="26"/>
        <v>0</v>
      </c>
      <c r="BI39" s="73">
        <f t="shared" si="26"/>
        <v>0</v>
      </c>
      <c r="BJ39" s="73">
        <f t="shared" si="26"/>
        <v>1906</v>
      </c>
      <c r="BK39" s="73">
        <f t="shared" si="26"/>
        <v>809.044108</v>
      </c>
      <c r="BL39" s="73">
        <f t="shared" si="26"/>
        <v>66</v>
      </c>
      <c r="BM39" s="73">
        <f t="shared" si="26"/>
        <v>1091</v>
      </c>
      <c r="BN39" s="73">
        <f t="shared" si="26"/>
        <v>1680</v>
      </c>
      <c r="BO39" s="73">
        <f t="shared" si="26"/>
        <v>1357</v>
      </c>
      <c r="BP39" s="73">
        <f aca="true" t="shared" si="27" ref="BP39:BY39">BP53</f>
        <v>564</v>
      </c>
      <c r="BQ39" s="73">
        <f t="shared" si="27"/>
        <v>626</v>
      </c>
      <c r="BR39" s="73">
        <f t="shared" si="27"/>
        <v>975</v>
      </c>
      <c r="BS39" s="73">
        <f t="shared" si="27"/>
        <v>938</v>
      </c>
      <c r="BT39" s="73">
        <f t="shared" si="27"/>
        <v>775</v>
      </c>
      <c r="BU39" s="73">
        <f t="shared" si="27"/>
        <v>4246</v>
      </c>
      <c r="BV39" s="73">
        <f t="shared" si="27"/>
        <v>1275</v>
      </c>
      <c r="BW39" s="73">
        <f t="shared" si="27"/>
        <v>952.3</v>
      </c>
      <c r="BX39" s="73">
        <f t="shared" si="27"/>
        <v>0</v>
      </c>
      <c r="BY39" s="73">
        <f t="shared" si="27"/>
        <v>0</v>
      </c>
      <c r="BZ39" s="73">
        <f aca="true" t="shared" si="28" ref="BZ39:CG39">BZ53</f>
        <v>5697</v>
      </c>
      <c r="CA39" s="73">
        <f t="shared" si="28"/>
        <v>962.83</v>
      </c>
      <c r="CB39" s="73">
        <f t="shared" si="28"/>
        <v>0</v>
      </c>
      <c r="CC39" s="73">
        <f t="shared" si="28"/>
        <v>317</v>
      </c>
      <c r="CD39" s="73">
        <f t="shared" si="28"/>
        <v>2709</v>
      </c>
      <c r="CE39" s="73">
        <f t="shared" si="28"/>
        <v>436.33</v>
      </c>
      <c r="CF39" s="73">
        <f t="shared" si="28"/>
        <v>0</v>
      </c>
      <c r="CG39" s="73">
        <f t="shared" si="28"/>
        <v>414</v>
      </c>
      <c r="CH39" s="73">
        <f aca="true" t="shared" si="29" ref="CH39:CO39">CH53</f>
        <v>1881</v>
      </c>
      <c r="CI39" s="73">
        <f t="shared" si="29"/>
        <v>799.47</v>
      </c>
      <c r="CJ39" s="73">
        <f t="shared" si="29"/>
        <v>498</v>
      </c>
      <c r="CK39" s="73">
        <f t="shared" si="29"/>
        <v>395</v>
      </c>
      <c r="CL39" s="73">
        <f t="shared" si="29"/>
        <v>405</v>
      </c>
      <c r="CM39" s="73">
        <f t="shared" si="29"/>
        <v>2606.8</v>
      </c>
      <c r="CN39" s="73">
        <f t="shared" si="29"/>
        <v>739</v>
      </c>
      <c r="CO39" s="73">
        <f t="shared" si="29"/>
        <v>13208</v>
      </c>
    </row>
    <row r="40" spans="1:93" s="74" customFormat="1" ht="27.75" customHeight="1" hidden="1" thickBot="1">
      <c r="A40" s="21" t="s">
        <v>90</v>
      </c>
      <c r="B40" s="75">
        <f>B39/B38</f>
        <v>4.602228036215351E-05</v>
      </c>
      <c r="C40" s="75">
        <f aca="true" t="shared" si="30" ref="C40:BM40">C39/C38</f>
        <v>0.7294845473707262</v>
      </c>
      <c r="D40" s="75">
        <f t="shared" si="30"/>
        <v>0</v>
      </c>
      <c r="E40" s="75" t="e">
        <f t="shared" si="30"/>
        <v>#DIV/0!</v>
      </c>
      <c r="F40" s="75">
        <f t="shared" si="30"/>
        <v>0.0005500538143200231</v>
      </c>
      <c r="G40" s="75">
        <f t="shared" si="30"/>
        <v>0.6539539334290206</v>
      </c>
      <c r="H40" s="75">
        <f t="shared" si="30"/>
        <v>0.4430379746835443</v>
      </c>
      <c r="I40" s="75">
        <f t="shared" si="30"/>
        <v>1</v>
      </c>
      <c r="J40" s="75">
        <f t="shared" si="30"/>
        <v>0</v>
      </c>
      <c r="K40" s="75">
        <f t="shared" si="30"/>
        <v>0.679948986488472</v>
      </c>
      <c r="L40" s="75">
        <f t="shared" si="30"/>
        <v>1</v>
      </c>
      <c r="M40" s="75">
        <f t="shared" si="30"/>
        <v>0</v>
      </c>
      <c r="N40" s="75">
        <f t="shared" si="30"/>
        <v>2.8602264536624245E-06</v>
      </c>
      <c r="O40" s="75">
        <f t="shared" si="30"/>
        <v>0.8689689670181182</v>
      </c>
      <c r="P40" s="75" t="e">
        <f t="shared" si="30"/>
        <v>#DIV/0!</v>
      </c>
      <c r="Q40" s="75" t="e">
        <f t="shared" si="30"/>
        <v>#DIV/0!</v>
      </c>
      <c r="R40" s="75">
        <f t="shared" si="30"/>
        <v>7.920371465421728E-05</v>
      </c>
      <c r="S40" s="75">
        <f t="shared" si="30"/>
        <v>0.7552053546842896</v>
      </c>
      <c r="T40" s="75">
        <f t="shared" si="30"/>
        <v>0</v>
      </c>
      <c r="U40" s="75" t="e">
        <f t="shared" si="30"/>
        <v>#DIV/0!</v>
      </c>
      <c r="V40" s="75">
        <f t="shared" si="30"/>
        <v>0.0009542347367881863</v>
      </c>
      <c r="W40" s="75">
        <f t="shared" si="30"/>
        <v>0.7282509670385471</v>
      </c>
      <c r="X40" s="75">
        <f t="shared" si="30"/>
        <v>0</v>
      </c>
      <c r="Y40" s="75">
        <f t="shared" si="30"/>
        <v>1</v>
      </c>
      <c r="Z40" s="75">
        <f t="shared" si="30"/>
        <v>0.00021857078496649324</v>
      </c>
      <c r="AA40" s="75">
        <f t="shared" si="30"/>
        <v>0.3620684473120003</v>
      </c>
      <c r="AB40" s="75" t="e">
        <f t="shared" si="30"/>
        <v>#DIV/0!</v>
      </c>
      <c r="AC40" s="75" t="e">
        <f t="shared" si="30"/>
        <v>#DIV/0!</v>
      </c>
      <c r="AD40" s="75">
        <f t="shared" si="30"/>
        <v>1.978272704159575E-05</v>
      </c>
      <c r="AE40" s="75">
        <f t="shared" si="30"/>
        <v>0.8431619612024204</v>
      </c>
      <c r="AF40" s="75">
        <f t="shared" si="30"/>
        <v>0</v>
      </c>
      <c r="AG40" s="75">
        <f t="shared" si="30"/>
        <v>1</v>
      </c>
      <c r="AH40" s="75">
        <f t="shared" si="30"/>
        <v>0.00016467230211878362</v>
      </c>
      <c r="AI40" s="75">
        <f t="shared" si="30"/>
        <v>0.9329146580295268</v>
      </c>
      <c r="AJ40" s="75">
        <f t="shared" si="30"/>
        <v>0.0011266195155536084</v>
      </c>
      <c r="AK40" s="75" t="e">
        <f t="shared" si="30"/>
        <v>#DIV/0!</v>
      </c>
      <c r="AL40" s="75">
        <f t="shared" si="30"/>
        <v>0.0018646250180318323</v>
      </c>
      <c r="AM40" s="75">
        <f t="shared" si="30"/>
        <v>0.8750489994550305</v>
      </c>
      <c r="AN40" s="75">
        <f t="shared" si="30"/>
        <v>0.00573787698551536</v>
      </c>
      <c r="AO40" s="75" t="e">
        <f t="shared" si="30"/>
        <v>#DIV/0!</v>
      </c>
      <c r="AP40" s="75">
        <f t="shared" si="30"/>
        <v>0.0005220121128485424</v>
      </c>
      <c r="AQ40" s="75">
        <f t="shared" si="30"/>
        <v>0.14169949936549558</v>
      </c>
      <c r="AR40" s="75">
        <f t="shared" si="30"/>
        <v>0</v>
      </c>
      <c r="AS40" s="75">
        <f t="shared" si="30"/>
        <v>0.18227915665866026</v>
      </c>
      <c r="AT40" s="75">
        <f t="shared" si="30"/>
        <v>0.0007700197238658778</v>
      </c>
      <c r="AU40" s="75">
        <f t="shared" si="30"/>
        <v>0.6598851814086992</v>
      </c>
      <c r="AV40" s="75">
        <f t="shared" si="30"/>
        <v>0</v>
      </c>
      <c r="AW40" s="75">
        <f t="shared" si="30"/>
        <v>0.04624651855690135</v>
      </c>
      <c r="AX40" s="75">
        <f t="shared" si="30"/>
        <v>0.0019565367952042723</v>
      </c>
      <c r="AY40" s="75">
        <f t="shared" si="30"/>
        <v>0.821836904671765</v>
      </c>
      <c r="AZ40" s="75">
        <f t="shared" si="30"/>
        <v>0.10973803478443069</v>
      </c>
      <c r="BA40" s="75">
        <f t="shared" si="30"/>
        <v>1</v>
      </c>
      <c r="BB40" s="75">
        <f t="shared" si="30"/>
        <v>0.002079363358350055</v>
      </c>
      <c r="BC40" s="75">
        <f t="shared" si="30"/>
        <v>0.913522527619785</v>
      </c>
      <c r="BD40" s="75">
        <f t="shared" si="30"/>
        <v>0</v>
      </c>
      <c r="BE40" s="75">
        <f t="shared" si="30"/>
        <v>1</v>
      </c>
      <c r="BF40" s="75">
        <f t="shared" si="30"/>
        <v>0.0006957099334571357</v>
      </c>
      <c r="BG40" s="75">
        <f t="shared" si="30"/>
        <v>0.9714525106230175</v>
      </c>
      <c r="BH40" s="75">
        <f t="shared" si="30"/>
        <v>0</v>
      </c>
      <c r="BI40" s="75" t="e">
        <f t="shared" si="30"/>
        <v>#DIV/0!</v>
      </c>
      <c r="BJ40" s="75">
        <f t="shared" si="30"/>
        <v>0.003063638818521995</v>
      </c>
      <c r="BK40" s="75">
        <f t="shared" si="30"/>
        <v>0.7850511273691867</v>
      </c>
      <c r="BL40" s="75">
        <f t="shared" si="30"/>
        <v>0.0015782253265584933</v>
      </c>
      <c r="BM40" s="75">
        <f t="shared" si="30"/>
        <v>0.171481600715828</v>
      </c>
      <c r="BN40" s="75">
        <f aca="true" t="shared" si="31" ref="BN40:BU40">BN39/BN38</f>
        <v>0.0023254719462262297</v>
      </c>
      <c r="BO40" s="75">
        <f t="shared" si="31"/>
        <v>0.4865543205449982</v>
      </c>
      <c r="BP40" s="75">
        <f t="shared" si="31"/>
        <v>0.056803303454527145</v>
      </c>
      <c r="BQ40" s="75">
        <f t="shared" si="31"/>
        <v>1</v>
      </c>
      <c r="BR40" s="75">
        <f t="shared" si="31"/>
        <v>0.002268692279232973</v>
      </c>
      <c r="BS40" s="75">
        <f t="shared" si="31"/>
        <v>0.8993288590604027</v>
      </c>
      <c r="BT40" s="75">
        <f t="shared" si="31"/>
        <v>0.024205890620607802</v>
      </c>
      <c r="BU40" s="75">
        <f t="shared" si="31"/>
        <v>0.34467083367156426</v>
      </c>
      <c r="BV40" s="75">
        <f aca="true" t="shared" si="32" ref="BV40:CC40">BV39/BV38</f>
        <v>0.0034384278698737086</v>
      </c>
      <c r="BW40" s="75">
        <f t="shared" si="32"/>
        <v>0.9152506535445178</v>
      </c>
      <c r="BX40" s="75">
        <f t="shared" si="32"/>
        <v>0</v>
      </c>
      <c r="BY40" s="75">
        <f t="shared" si="32"/>
        <v>0</v>
      </c>
      <c r="BZ40" s="75">
        <f t="shared" si="32"/>
        <v>0.01251084295016086</v>
      </c>
      <c r="CA40" s="75">
        <f t="shared" si="32"/>
        <v>0.5345640285373233</v>
      </c>
      <c r="CB40" s="75">
        <f t="shared" si="32"/>
        <v>0</v>
      </c>
      <c r="CC40" s="75">
        <f t="shared" si="32"/>
        <v>0.007083957183400746</v>
      </c>
      <c r="CD40" s="75">
        <f>CD39/CD38</f>
        <v>0.0042255432451361015</v>
      </c>
      <c r="CE40" s="75">
        <f>CE39/CE38</f>
        <v>0.313194464383129</v>
      </c>
      <c r="CF40" s="75">
        <f>CF39/CF38</f>
        <v>0</v>
      </c>
      <c r="CG40" s="75">
        <f>CG39/CG38</f>
        <v>0.0025</v>
      </c>
      <c r="CH40" s="75">
        <f aca="true" t="shared" si="33" ref="CH40:CO40">CH39/CH38</f>
        <v>0.004458106596386113</v>
      </c>
      <c r="CI40" s="75">
        <f t="shared" si="33"/>
        <v>0.8064050837199919</v>
      </c>
      <c r="CJ40" s="75">
        <f t="shared" si="33"/>
        <v>0.0015365627892625733</v>
      </c>
      <c r="CK40" s="75">
        <f t="shared" si="33"/>
        <v>0.0056004537076421385</v>
      </c>
      <c r="CL40" s="75">
        <f t="shared" si="33"/>
        <v>0.0005053952502829589</v>
      </c>
      <c r="CM40" s="75">
        <f t="shared" si="33"/>
        <v>0.9756791352581425</v>
      </c>
      <c r="CN40" s="75">
        <f t="shared" si="33"/>
        <v>0.0029097581238950597</v>
      </c>
      <c r="CO40" s="75">
        <f t="shared" si="33"/>
        <v>0.08962961957628154</v>
      </c>
    </row>
    <row r="41" spans="1:93" s="74" customFormat="1" ht="42" customHeight="1" hidden="1" thickBot="1">
      <c r="A41" s="21" t="s">
        <v>91</v>
      </c>
      <c r="B41" s="73">
        <f>SUM(B28:B29)</f>
        <v>1434022</v>
      </c>
      <c r="C41" s="73">
        <f aca="true" t="shared" si="34" ref="C41:BM41">SUM(C28:C29)</f>
        <v>2178.629812</v>
      </c>
      <c r="D41" s="73">
        <f t="shared" si="34"/>
        <v>251.32440000000003</v>
      </c>
      <c r="E41" s="73">
        <f t="shared" si="34"/>
        <v>0</v>
      </c>
      <c r="F41" s="73">
        <f t="shared" si="34"/>
        <v>461519</v>
      </c>
      <c r="G41" s="73">
        <f t="shared" si="34"/>
        <v>2232.3779600000003</v>
      </c>
      <c r="H41" s="73">
        <f t="shared" si="34"/>
        <v>44</v>
      </c>
      <c r="I41" s="73">
        <f t="shared" si="34"/>
        <v>0</v>
      </c>
      <c r="J41" s="73">
        <f t="shared" si="34"/>
        <v>709615</v>
      </c>
      <c r="K41" s="73">
        <f t="shared" si="34"/>
        <v>1200.5590220000001</v>
      </c>
      <c r="L41" s="73">
        <f t="shared" si="34"/>
        <v>0</v>
      </c>
      <c r="M41" s="73">
        <f t="shared" si="34"/>
        <v>3966.0754</v>
      </c>
      <c r="N41" s="73">
        <f t="shared" si="34"/>
        <v>1048865</v>
      </c>
      <c r="O41" s="73">
        <f t="shared" si="34"/>
        <v>444.66782</v>
      </c>
      <c r="P41" s="73">
        <f t="shared" si="34"/>
        <v>0</v>
      </c>
      <c r="Q41" s="73">
        <f t="shared" si="34"/>
        <v>0</v>
      </c>
      <c r="R41" s="73">
        <f t="shared" si="34"/>
        <v>1110971</v>
      </c>
      <c r="S41" s="73">
        <f t="shared" si="34"/>
        <v>764.356866</v>
      </c>
      <c r="T41" s="73">
        <f t="shared" si="34"/>
        <v>136.6852</v>
      </c>
      <c r="U41" s="73">
        <f t="shared" si="34"/>
        <v>0</v>
      </c>
      <c r="V41" s="73">
        <f t="shared" si="34"/>
        <v>1209239</v>
      </c>
      <c r="W41" s="73">
        <f t="shared" si="34"/>
        <v>802.2759860000001</v>
      </c>
      <c r="X41" s="73">
        <f t="shared" si="34"/>
        <v>178.57260000000002</v>
      </c>
      <c r="Y41" s="73">
        <f t="shared" si="34"/>
        <v>0</v>
      </c>
      <c r="Z41" s="73">
        <f t="shared" si="34"/>
        <v>1344808</v>
      </c>
      <c r="AA41" s="73">
        <f t="shared" si="34"/>
        <v>2807.536054</v>
      </c>
      <c r="AB41" s="73">
        <f t="shared" si="34"/>
        <v>0</v>
      </c>
      <c r="AC41" s="73">
        <f t="shared" si="34"/>
        <v>0</v>
      </c>
      <c r="AD41" s="73">
        <f t="shared" si="34"/>
        <v>1364800</v>
      </c>
      <c r="AE41" s="73">
        <f t="shared" si="34"/>
        <v>249.715042</v>
      </c>
      <c r="AF41" s="73">
        <f t="shared" si="34"/>
        <v>9850</v>
      </c>
      <c r="AG41" s="73">
        <f t="shared" si="34"/>
        <v>0</v>
      </c>
      <c r="AH41" s="73">
        <f t="shared" si="34"/>
        <v>1111115</v>
      </c>
      <c r="AI41" s="73">
        <f t="shared" si="34"/>
        <v>157.07775</v>
      </c>
      <c r="AJ41" s="73">
        <f t="shared" si="34"/>
        <v>15959</v>
      </c>
      <c r="AK41" s="73">
        <f t="shared" si="34"/>
        <v>0</v>
      </c>
      <c r="AL41" s="73">
        <f t="shared" si="34"/>
        <v>934100</v>
      </c>
      <c r="AM41" s="73">
        <f t="shared" si="34"/>
        <v>576.238348</v>
      </c>
      <c r="AN41" s="73">
        <f t="shared" si="34"/>
        <v>14209</v>
      </c>
      <c r="AO41" s="73">
        <f t="shared" si="34"/>
        <v>0</v>
      </c>
      <c r="AP41" s="73">
        <f t="shared" si="34"/>
        <v>553338</v>
      </c>
      <c r="AQ41" s="73">
        <f t="shared" si="34"/>
        <v>11675.252956</v>
      </c>
      <c r="AR41" s="73">
        <f t="shared" si="34"/>
        <v>697</v>
      </c>
      <c r="AS41" s="73">
        <f t="shared" si="34"/>
        <v>3064</v>
      </c>
      <c r="AT41" s="73">
        <f t="shared" si="34"/>
        <v>633262</v>
      </c>
      <c r="AU41" s="73">
        <f t="shared" si="34"/>
        <v>1237.2317272980001</v>
      </c>
      <c r="AV41" s="73">
        <f t="shared" si="34"/>
        <v>30181</v>
      </c>
      <c r="AW41" s="73">
        <f t="shared" si="34"/>
        <v>14725</v>
      </c>
      <c r="AX41" s="73">
        <f t="shared" si="34"/>
        <v>518779</v>
      </c>
      <c r="AY41" s="73">
        <f t="shared" si="34"/>
        <v>259.37119</v>
      </c>
      <c r="AZ41" s="73">
        <f t="shared" si="34"/>
        <v>2255.3058</v>
      </c>
      <c r="BA41" s="73">
        <f t="shared" si="34"/>
        <v>0</v>
      </c>
      <c r="BB41" s="73">
        <f t="shared" si="34"/>
        <v>671883</v>
      </c>
      <c r="BC41" s="73">
        <f t="shared" si="34"/>
        <v>64.021584</v>
      </c>
      <c r="BD41" s="73">
        <f t="shared" si="34"/>
        <v>4409</v>
      </c>
      <c r="BE41" s="73">
        <f t="shared" si="34"/>
        <v>0</v>
      </c>
      <c r="BF41" s="73">
        <f t="shared" si="34"/>
        <v>920720</v>
      </c>
      <c r="BG41" s="73">
        <f t="shared" si="34"/>
        <v>31.547826000000004</v>
      </c>
      <c r="BH41" s="73">
        <f t="shared" si="34"/>
        <v>1892</v>
      </c>
      <c r="BI41" s="73">
        <f t="shared" si="34"/>
        <v>0</v>
      </c>
      <c r="BJ41" s="73">
        <f t="shared" si="34"/>
        <v>620230</v>
      </c>
      <c r="BK41" s="73">
        <f t="shared" si="34"/>
        <v>221.51820800000002</v>
      </c>
      <c r="BL41" s="73">
        <f t="shared" si="34"/>
        <v>41753.123600000006</v>
      </c>
      <c r="BM41" s="73">
        <f t="shared" si="34"/>
        <v>5271.198600000001</v>
      </c>
      <c r="BN41" s="73">
        <f aca="true" t="shared" si="35" ref="BN41:BY41">SUM(BN28:BN29)</f>
        <v>720754</v>
      </c>
      <c r="BO41" s="73">
        <f t="shared" si="35"/>
        <v>1432</v>
      </c>
      <c r="BP41" s="73">
        <f t="shared" si="35"/>
        <v>9365</v>
      </c>
      <c r="BQ41" s="73">
        <f t="shared" si="35"/>
        <v>0</v>
      </c>
      <c r="BR41" s="73">
        <f t="shared" si="35"/>
        <v>428788</v>
      </c>
      <c r="BS41" s="73">
        <f t="shared" si="35"/>
        <v>105</v>
      </c>
      <c r="BT41" s="73">
        <f t="shared" si="35"/>
        <v>31242</v>
      </c>
      <c r="BU41" s="73">
        <f t="shared" si="35"/>
        <v>8073</v>
      </c>
      <c r="BV41" s="73">
        <f t="shared" si="35"/>
        <v>369534</v>
      </c>
      <c r="BW41" s="73">
        <f t="shared" si="35"/>
        <v>88.18</v>
      </c>
      <c r="BX41" s="73">
        <f t="shared" si="35"/>
        <v>21281</v>
      </c>
      <c r="BY41" s="73">
        <f t="shared" si="35"/>
        <v>5545</v>
      </c>
      <c r="BZ41" s="73">
        <f aca="true" t="shared" si="36" ref="BZ41:CG41">SUM(BZ28:BZ29)</f>
        <v>449668</v>
      </c>
      <c r="CA41" s="73">
        <f t="shared" si="36"/>
        <v>838.32</v>
      </c>
      <c r="CB41" s="73">
        <f t="shared" si="36"/>
        <v>231791</v>
      </c>
      <c r="CC41" s="73">
        <f t="shared" si="36"/>
        <v>44432</v>
      </c>
      <c r="CD41" s="73">
        <f t="shared" si="36"/>
        <v>638392</v>
      </c>
      <c r="CE41" s="73">
        <f t="shared" si="36"/>
        <v>956.83</v>
      </c>
      <c r="CF41" s="73">
        <f t="shared" si="36"/>
        <v>139664</v>
      </c>
      <c r="CG41" s="73">
        <f t="shared" si="36"/>
        <v>165186</v>
      </c>
      <c r="CH41" s="73">
        <f aca="true" t="shared" si="37" ref="CH41:CO41">SUM(CH28:CH29)</f>
        <v>420047</v>
      </c>
      <c r="CI41" s="73">
        <f t="shared" si="37"/>
        <v>191.93</v>
      </c>
      <c r="CJ41" s="73">
        <f t="shared" si="37"/>
        <v>323602</v>
      </c>
      <c r="CK41" s="73">
        <f t="shared" si="37"/>
        <v>70135</v>
      </c>
      <c r="CL41" s="73">
        <f t="shared" si="37"/>
        <v>800948</v>
      </c>
      <c r="CM41" s="73">
        <f t="shared" si="37"/>
        <v>64.98</v>
      </c>
      <c r="CN41" s="73">
        <f t="shared" si="37"/>
        <v>253234</v>
      </c>
      <c r="CO41" s="73">
        <f t="shared" si="37"/>
        <v>134154</v>
      </c>
    </row>
    <row r="42" spans="1:93" s="74" customFormat="1" ht="35.25" customHeight="1" hidden="1" thickBot="1">
      <c r="A42" s="22" t="s">
        <v>92</v>
      </c>
      <c r="B42" s="76">
        <f>B41/B38</f>
        <v>0.9999539777196379</v>
      </c>
      <c r="C42" s="76">
        <f aca="true" t="shared" si="38" ref="C42:BM42">C41/C38</f>
        <v>0.2705154526292738</v>
      </c>
      <c r="D42" s="76">
        <f t="shared" si="38"/>
        <v>1</v>
      </c>
      <c r="E42" s="76" t="e">
        <f t="shared" si="38"/>
        <v>#DIV/0!</v>
      </c>
      <c r="F42" s="76">
        <f t="shared" si="38"/>
        <v>0.99944994618568</v>
      </c>
      <c r="G42" s="76">
        <f t="shared" si="38"/>
        <v>0.34604606657097947</v>
      </c>
      <c r="H42" s="76">
        <f t="shared" si="38"/>
        <v>0.5569620253164557</v>
      </c>
      <c r="I42" s="76">
        <f t="shared" si="38"/>
        <v>0</v>
      </c>
      <c r="J42" s="76">
        <f t="shared" si="38"/>
        <v>1</v>
      </c>
      <c r="K42" s="76">
        <f t="shared" si="38"/>
        <v>0.32005101351152804</v>
      </c>
      <c r="L42" s="76">
        <f t="shared" si="38"/>
        <v>0</v>
      </c>
      <c r="M42" s="76">
        <f t="shared" si="38"/>
        <v>1</v>
      </c>
      <c r="N42" s="76">
        <f t="shared" si="38"/>
        <v>0.9999971397735463</v>
      </c>
      <c r="O42" s="76">
        <f t="shared" si="38"/>
        <v>0.1310310329818817</v>
      </c>
      <c r="P42" s="76" t="e">
        <f t="shared" si="38"/>
        <v>#DIV/0!</v>
      </c>
      <c r="Q42" s="76" t="e">
        <f t="shared" si="38"/>
        <v>#DIV/0!</v>
      </c>
      <c r="R42" s="76">
        <f t="shared" si="38"/>
        <v>0.9999207962853458</v>
      </c>
      <c r="S42" s="76">
        <f t="shared" si="38"/>
        <v>0.2447946453157103</v>
      </c>
      <c r="T42" s="76">
        <f t="shared" si="38"/>
        <v>1</v>
      </c>
      <c r="U42" s="76" t="e">
        <f t="shared" si="38"/>
        <v>#DIV/0!</v>
      </c>
      <c r="V42" s="76">
        <f t="shared" si="38"/>
        <v>0.9990457652632118</v>
      </c>
      <c r="W42" s="76">
        <f t="shared" si="38"/>
        <v>0.27174903296145286</v>
      </c>
      <c r="X42" s="76">
        <f t="shared" si="38"/>
        <v>1</v>
      </c>
      <c r="Y42" s="76">
        <f t="shared" si="38"/>
        <v>0</v>
      </c>
      <c r="Z42" s="76">
        <f t="shared" si="38"/>
        <v>0.9997814292150335</v>
      </c>
      <c r="AA42" s="76">
        <f t="shared" si="38"/>
        <v>0.6379315526879997</v>
      </c>
      <c r="AB42" s="76" t="e">
        <f t="shared" si="38"/>
        <v>#DIV/0!</v>
      </c>
      <c r="AC42" s="76" t="e">
        <f t="shared" si="38"/>
        <v>#DIV/0!</v>
      </c>
      <c r="AD42" s="76">
        <f t="shared" si="38"/>
        <v>0.9999802172729584</v>
      </c>
      <c r="AE42" s="76">
        <f t="shared" si="38"/>
        <v>0.15683803879757963</v>
      </c>
      <c r="AF42" s="76">
        <f t="shared" si="38"/>
        <v>1</v>
      </c>
      <c r="AG42" s="76">
        <f t="shared" si="38"/>
        <v>0</v>
      </c>
      <c r="AH42" s="76">
        <f t="shared" si="38"/>
        <v>0.9998353276978812</v>
      </c>
      <c r="AI42" s="76">
        <f t="shared" si="38"/>
        <v>0.06708534197047301</v>
      </c>
      <c r="AJ42" s="76">
        <f t="shared" si="38"/>
        <v>0.9988733804844464</v>
      </c>
      <c r="AK42" s="76" t="e">
        <f t="shared" si="38"/>
        <v>#DIV/0!</v>
      </c>
      <c r="AL42" s="76">
        <f t="shared" si="38"/>
        <v>0.9981353749819681</v>
      </c>
      <c r="AM42" s="76">
        <f t="shared" si="38"/>
        <v>0.12495100054496955</v>
      </c>
      <c r="AN42" s="76">
        <f t="shared" si="38"/>
        <v>0.9942621230144847</v>
      </c>
      <c r="AO42" s="76" t="e">
        <f t="shared" si="38"/>
        <v>#DIV/0!</v>
      </c>
      <c r="AP42" s="76">
        <f t="shared" si="38"/>
        <v>0.9994779878871515</v>
      </c>
      <c r="AQ42" s="76">
        <f t="shared" si="38"/>
        <v>0.8583005006345044</v>
      </c>
      <c r="AR42" s="76">
        <f t="shared" si="38"/>
        <v>1</v>
      </c>
      <c r="AS42" s="76">
        <f t="shared" si="38"/>
        <v>0.8177208433413398</v>
      </c>
      <c r="AT42" s="76">
        <f t="shared" si="38"/>
        <v>0.9992299802761341</v>
      </c>
      <c r="AU42" s="76">
        <f t="shared" si="38"/>
        <v>0.3401148185913008</v>
      </c>
      <c r="AV42" s="76">
        <f t="shared" si="38"/>
        <v>1</v>
      </c>
      <c r="AW42" s="76">
        <f t="shared" si="38"/>
        <v>0.9537534814430987</v>
      </c>
      <c r="AX42" s="76">
        <f t="shared" si="38"/>
        <v>0.9980434632047958</v>
      </c>
      <c r="AY42" s="76">
        <f t="shared" si="38"/>
        <v>0.178163095328235</v>
      </c>
      <c r="AZ42" s="76">
        <f t="shared" si="38"/>
        <v>0.8902619652155693</v>
      </c>
      <c r="BA42" s="76">
        <f t="shared" si="38"/>
        <v>0</v>
      </c>
      <c r="BB42" s="76">
        <f t="shared" si="38"/>
        <v>0.99792063664165</v>
      </c>
      <c r="BC42" s="76">
        <f t="shared" si="38"/>
        <v>0.08647747238021501</v>
      </c>
      <c r="BD42" s="76">
        <f t="shared" si="38"/>
        <v>1</v>
      </c>
      <c r="BE42" s="76">
        <f t="shared" si="38"/>
        <v>0</v>
      </c>
      <c r="BF42" s="76">
        <f t="shared" si="38"/>
        <v>0.9993042900665429</v>
      </c>
      <c r="BG42" s="76">
        <f t="shared" si="38"/>
        <v>0.028547489376982465</v>
      </c>
      <c r="BH42" s="76">
        <f t="shared" si="38"/>
        <v>1</v>
      </c>
      <c r="BI42" s="76" t="e">
        <f t="shared" si="38"/>
        <v>#DIV/0!</v>
      </c>
      <c r="BJ42" s="76">
        <f t="shared" si="38"/>
        <v>0.996936361181478</v>
      </c>
      <c r="BK42" s="76">
        <f t="shared" si="38"/>
        <v>0.21494887263081333</v>
      </c>
      <c r="BL42" s="76">
        <f t="shared" si="38"/>
        <v>0.9984217746734415</v>
      </c>
      <c r="BM42" s="76">
        <f t="shared" si="38"/>
        <v>0.828518399284172</v>
      </c>
      <c r="BN42" s="76">
        <f aca="true" t="shared" si="39" ref="BN42:BU42">BN41/BN38</f>
        <v>0.9976745280537738</v>
      </c>
      <c r="BO42" s="76">
        <f t="shared" si="39"/>
        <v>0.5134456794550017</v>
      </c>
      <c r="BP42" s="76">
        <f t="shared" si="39"/>
        <v>0.9431966965454729</v>
      </c>
      <c r="BQ42" s="76">
        <f t="shared" si="39"/>
        <v>0</v>
      </c>
      <c r="BR42" s="76">
        <f t="shared" si="39"/>
        <v>0.997731307720767</v>
      </c>
      <c r="BS42" s="76">
        <f t="shared" si="39"/>
        <v>0.10067114093959731</v>
      </c>
      <c r="BT42" s="76">
        <f t="shared" si="39"/>
        <v>0.9757941093793921</v>
      </c>
      <c r="BU42" s="76">
        <f t="shared" si="39"/>
        <v>0.6553291663284357</v>
      </c>
      <c r="BV42" s="76">
        <f aca="true" t="shared" si="40" ref="BV42:CC42">BV41/BV38</f>
        <v>0.9965615721301263</v>
      </c>
      <c r="BW42" s="76">
        <f t="shared" si="40"/>
        <v>0.08474934645548209</v>
      </c>
      <c r="BX42" s="76">
        <f t="shared" si="40"/>
        <v>1</v>
      </c>
      <c r="BY42" s="76">
        <f t="shared" si="40"/>
        <v>1</v>
      </c>
      <c r="BZ42" s="76">
        <f t="shared" si="40"/>
        <v>0.9874891570498392</v>
      </c>
      <c r="CA42" s="76">
        <f t="shared" si="40"/>
        <v>0.4654359714626766</v>
      </c>
      <c r="CB42" s="76">
        <f t="shared" si="40"/>
        <v>1</v>
      </c>
      <c r="CC42" s="76">
        <f t="shared" si="40"/>
        <v>0.9929160428165993</v>
      </c>
      <c r="CD42" s="76">
        <f>CD41/CD38</f>
        <v>0.9957744567548639</v>
      </c>
      <c r="CE42" s="76">
        <f>CE41/CE38</f>
        <v>0.686805535616871</v>
      </c>
      <c r="CF42" s="76">
        <f>CF41/CF38</f>
        <v>1</v>
      </c>
      <c r="CG42" s="76">
        <f>CG41/CG38</f>
        <v>0.9975</v>
      </c>
      <c r="CH42" s="76">
        <f aca="true" t="shared" si="41" ref="CH42:CO42">CH41/CH38</f>
        <v>0.9955418934036139</v>
      </c>
      <c r="CI42" s="76">
        <f t="shared" si="41"/>
        <v>0.19359491628000805</v>
      </c>
      <c r="CJ42" s="76">
        <f t="shared" si="41"/>
        <v>0.9984634372107374</v>
      </c>
      <c r="CK42" s="76">
        <f t="shared" si="41"/>
        <v>0.9943995462923578</v>
      </c>
      <c r="CL42" s="76">
        <f t="shared" si="41"/>
        <v>0.9994946047497171</v>
      </c>
      <c r="CM42" s="76">
        <f t="shared" si="41"/>
        <v>0.024320864741857486</v>
      </c>
      <c r="CN42" s="76">
        <f t="shared" si="41"/>
        <v>0.997090241876105</v>
      </c>
      <c r="CO42" s="76">
        <f t="shared" si="41"/>
        <v>0.9103703804237184</v>
      </c>
    </row>
    <row r="43" spans="1:93" ht="41.25" customHeight="1" thickBot="1" thickTop="1">
      <c r="A43" s="10" t="s">
        <v>70</v>
      </c>
      <c r="B43" s="69"/>
      <c r="C43" s="70"/>
      <c r="D43" s="70"/>
      <c r="E43" s="71"/>
      <c r="F43" s="138"/>
      <c r="G43" s="139"/>
      <c r="H43" s="139"/>
      <c r="I43" s="140"/>
      <c r="J43" s="138"/>
      <c r="K43" s="139"/>
      <c r="L43" s="139"/>
      <c r="M43" s="140"/>
      <c r="N43" s="138"/>
      <c r="O43" s="139"/>
      <c r="P43" s="139"/>
      <c r="Q43" s="140"/>
      <c r="R43" s="138"/>
      <c r="S43" s="139"/>
      <c r="T43" s="139"/>
      <c r="U43" s="140"/>
      <c r="V43" s="138"/>
      <c r="W43" s="139"/>
      <c r="X43" s="139"/>
      <c r="Y43" s="140"/>
      <c r="Z43" s="138"/>
      <c r="AA43" s="139"/>
      <c r="AB43" s="139"/>
      <c r="AC43" s="140"/>
      <c r="AD43" s="138"/>
      <c r="AE43" s="139"/>
      <c r="AF43" s="139"/>
      <c r="AG43" s="140"/>
      <c r="AH43" s="138"/>
      <c r="AI43" s="139"/>
      <c r="AJ43" s="139"/>
      <c r="AK43" s="140"/>
      <c r="AL43" s="138"/>
      <c r="AM43" s="139"/>
      <c r="AN43" s="139"/>
      <c r="AO43" s="140"/>
      <c r="AP43" s="138"/>
      <c r="AQ43" s="139"/>
      <c r="AR43" s="139"/>
      <c r="AS43" s="140"/>
      <c r="AT43" s="138"/>
      <c r="AU43" s="139"/>
      <c r="AV43" s="139"/>
      <c r="AW43" s="140"/>
      <c r="AX43" s="138"/>
      <c r="AY43" s="139"/>
      <c r="AZ43" s="139"/>
      <c r="BA43" s="140"/>
      <c r="BB43" s="138"/>
      <c r="BC43" s="139"/>
      <c r="BD43" s="139"/>
      <c r="BE43" s="140"/>
      <c r="BF43" s="138"/>
      <c r="BG43" s="139"/>
      <c r="BH43" s="139"/>
      <c r="BI43" s="140"/>
      <c r="BJ43" s="138"/>
      <c r="BK43" s="139"/>
      <c r="BL43" s="139"/>
      <c r="BM43" s="148"/>
      <c r="BN43" s="138"/>
      <c r="BO43" s="139"/>
      <c r="BP43" s="139"/>
      <c r="BQ43" s="148"/>
      <c r="BR43" s="138"/>
      <c r="BS43" s="139"/>
      <c r="BT43" s="139"/>
      <c r="BU43" s="148"/>
      <c r="BV43" s="138"/>
      <c r="BW43" s="139"/>
      <c r="BX43" s="139"/>
      <c r="BY43" s="148"/>
      <c r="BZ43" s="138"/>
      <c r="CA43" s="139"/>
      <c r="CB43" s="139"/>
      <c r="CC43" s="148"/>
      <c r="CD43" s="138"/>
      <c r="CE43" s="139"/>
      <c r="CF43" s="139"/>
      <c r="CG43" s="148"/>
      <c r="CH43" s="138"/>
      <c r="CI43" s="139"/>
      <c r="CJ43" s="139"/>
      <c r="CK43" s="148"/>
      <c r="CL43" s="138"/>
      <c r="CM43" s="139"/>
      <c r="CN43" s="139"/>
      <c r="CO43" s="148"/>
    </row>
    <row r="44" spans="1:93" ht="12" customHeight="1">
      <c r="A44" s="11" t="s">
        <v>67</v>
      </c>
      <c r="B44" s="40"/>
      <c r="C44" s="41"/>
      <c r="D44" s="41"/>
      <c r="E44" s="136"/>
      <c r="F44" s="143"/>
      <c r="G44" s="144"/>
      <c r="H44" s="144"/>
      <c r="I44" s="146"/>
      <c r="J44" s="143"/>
      <c r="K44" s="144"/>
      <c r="L44" s="144"/>
      <c r="M44" s="146"/>
      <c r="N44" s="143"/>
      <c r="O44" s="144"/>
      <c r="P44" s="144"/>
      <c r="Q44" s="146"/>
      <c r="R44" s="143"/>
      <c r="S44" s="144"/>
      <c r="T44" s="144"/>
      <c r="U44" s="146"/>
      <c r="V44" s="143"/>
      <c r="W44" s="144"/>
      <c r="X44" s="144"/>
      <c r="Y44" s="146"/>
      <c r="Z44" s="143"/>
      <c r="AA44" s="144"/>
      <c r="AB44" s="144"/>
      <c r="AC44" s="146"/>
      <c r="AD44" s="143"/>
      <c r="AE44" s="144"/>
      <c r="AF44" s="144"/>
      <c r="AG44" s="146"/>
      <c r="AH44" s="143"/>
      <c r="AI44" s="144"/>
      <c r="AJ44" s="144"/>
      <c r="AK44" s="146"/>
      <c r="AL44" s="143"/>
      <c r="AM44" s="144"/>
      <c r="AN44" s="144"/>
      <c r="AO44" s="146"/>
      <c r="AP44" s="143"/>
      <c r="AQ44" s="144"/>
      <c r="AR44" s="144"/>
      <c r="AS44" s="146"/>
      <c r="AT44" s="143"/>
      <c r="AU44" s="144"/>
      <c r="AV44" s="144"/>
      <c r="AW44" s="146"/>
      <c r="AX44" s="143"/>
      <c r="AY44" s="144"/>
      <c r="AZ44" s="144"/>
      <c r="BA44" s="146"/>
      <c r="BB44" s="143"/>
      <c r="BC44" s="144"/>
      <c r="BD44" s="144"/>
      <c r="BE44" s="146"/>
      <c r="BF44" s="143"/>
      <c r="BG44" s="144"/>
      <c r="BH44" s="144"/>
      <c r="BI44" s="146"/>
      <c r="BJ44" s="143"/>
      <c r="BK44" s="144"/>
      <c r="BL44" s="144"/>
      <c r="BM44" s="146"/>
      <c r="BN44" s="143"/>
      <c r="BO44" s="144"/>
      <c r="BP44" s="144"/>
      <c r="BQ44" s="115"/>
      <c r="BR44" s="143"/>
      <c r="BS44" s="144"/>
      <c r="BT44" s="144"/>
      <c r="BU44" s="115"/>
      <c r="BV44" s="143"/>
      <c r="BW44" s="144"/>
      <c r="BX44" s="144"/>
      <c r="BY44" s="115"/>
      <c r="BZ44" s="143"/>
      <c r="CA44" s="144"/>
      <c r="CB44" s="144"/>
      <c r="CC44" s="115"/>
      <c r="CD44" s="143"/>
      <c r="CE44" s="144"/>
      <c r="CF44" s="144"/>
      <c r="CG44" s="115"/>
      <c r="CH44" s="143"/>
      <c r="CI44" s="144"/>
      <c r="CJ44" s="144"/>
      <c r="CK44" s="115"/>
      <c r="CL44" s="143"/>
      <c r="CM44" s="144"/>
      <c r="CN44" s="144"/>
      <c r="CO44" s="115"/>
    </row>
    <row r="45" spans="1:93" s="2" customFormat="1" ht="12" customHeight="1">
      <c r="A45" s="132" t="s">
        <v>109</v>
      </c>
      <c r="B45" s="57">
        <v>1083449</v>
      </c>
      <c r="C45" s="58">
        <v>259781</v>
      </c>
      <c r="D45" s="45"/>
      <c r="E45" s="45">
        <v>157325</v>
      </c>
      <c r="F45" s="44">
        <v>1322913</v>
      </c>
      <c r="G45" s="45">
        <v>277878</v>
      </c>
      <c r="H45" s="45">
        <v>1784</v>
      </c>
      <c r="I45" s="106">
        <v>55237</v>
      </c>
      <c r="J45" s="129">
        <v>1371626</v>
      </c>
      <c r="K45" s="45">
        <v>401079</v>
      </c>
      <c r="L45" s="45">
        <v>50285</v>
      </c>
      <c r="M45" s="106">
        <v>245396</v>
      </c>
      <c r="N45" s="129">
        <v>1776216</v>
      </c>
      <c r="O45" s="45">
        <v>219498</v>
      </c>
      <c r="P45" s="45">
        <v>4707</v>
      </c>
      <c r="Q45" s="106">
        <v>88969</v>
      </c>
      <c r="R45" s="129">
        <v>1704969</v>
      </c>
      <c r="S45" s="45">
        <v>316170</v>
      </c>
      <c r="T45" s="45">
        <v>1369</v>
      </c>
      <c r="U45" s="106">
        <v>110935</v>
      </c>
      <c r="V45" s="129">
        <v>1821979</v>
      </c>
      <c r="W45" s="45">
        <v>270123</v>
      </c>
      <c r="X45" s="45">
        <v>0</v>
      </c>
      <c r="Y45" s="106">
        <v>167448</v>
      </c>
      <c r="Z45" s="129">
        <v>1698198</v>
      </c>
      <c r="AA45" s="45">
        <v>249717</v>
      </c>
      <c r="AB45" s="45">
        <v>9044</v>
      </c>
      <c r="AC45" s="106">
        <v>163092</v>
      </c>
      <c r="AD45" s="129">
        <v>2321626</v>
      </c>
      <c r="AE45" s="45">
        <v>355549</v>
      </c>
      <c r="AF45" s="45">
        <v>2895</v>
      </c>
      <c r="AG45" s="106">
        <v>306241</v>
      </c>
      <c r="AH45" s="129">
        <v>2174284</v>
      </c>
      <c r="AI45" s="45">
        <v>262122</v>
      </c>
      <c r="AJ45" s="45">
        <v>0</v>
      </c>
      <c r="AK45" s="106">
        <v>125649</v>
      </c>
      <c r="AL45" s="129">
        <v>1824249</v>
      </c>
      <c r="AM45" s="45">
        <v>160656</v>
      </c>
      <c r="AN45" s="45">
        <v>0</v>
      </c>
      <c r="AO45" s="106">
        <v>91043</v>
      </c>
      <c r="AP45" s="129">
        <v>1444993</v>
      </c>
      <c r="AQ45" s="45">
        <v>138238</v>
      </c>
      <c r="AR45" s="45">
        <v>8245</v>
      </c>
      <c r="AS45" s="106">
        <v>67768</v>
      </c>
      <c r="AT45" s="129">
        <v>1668362</v>
      </c>
      <c r="AU45" s="45">
        <v>148685</v>
      </c>
      <c r="AV45" s="45">
        <v>256</v>
      </c>
      <c r="AW45" s="106">
        <v>25862</v>
      </c>
      <c r="AX45" s="129">
        <v>1519115</v>
      </c>
      <c r="AY45" s="45">
        <v>119807</v>
      </c>
      <c r="AZ45" s="45">
        <v>24394</v>
      </c>
      <c r="BA45" s="106">
        <v>80290</v>
      </c>
      <c r="BB45" s="129">
        <v>1825249</v>
      </c>
      <c r="BC45" s="45">
        <v>98904</v>
      </c>
      <c r="BD45" s="45">
        <v>6063</v>
      </c>
      <c r="BE45" s="106">
        <v>58978</v>
      </c>
      <c r="BF45" s="129">
        <v>1589294</v>
      </c>
      <c r="BG45" s="45">
        <v>94696</v>
      </c>
      <c r="BH45" s="45">
        <v>8819</v>
      </c>
      <c r="BI45" s="106">
        <v>157128</v>
      </c>
      <c r="BJ45" s="129">
        <v>1414951</v>
      </c>
      <c r="BK45" s="45">
        <v>96208</v>
      </c>
      <c r="BL45" s="45">
        <v>38191</v>
      </c>
      <c r="BM45" s="106">
        <v>56296</v>
      </c>
      <c r="BN45" s="129">
        <v>1404135</v>
      </c>
      <c r="BO45" s="45">
        <v>110373</v>
      </c>
      <c r="BP45" s="45">
        <v>16976</v>
      </c>
      <c r="BQ45" s="46">
        <v>40672</v>
      </c>
      <c r="BR45" s="129">
        <v>1389565</v>
      </c>
      <c r="BS45" s="45">
        <v>96405</v>
      </c>
      <c r="BT45" s="45">
        <v>38675</v>
      </c>
      <c r="BU45" s="46">
        <v>52881</v>
      </c>
      <c r="BV45" s="129">
        <v>1464316</v>
      </c>
      <c r="BW45" s="45">
        <v>103509.72</v>
      </c>
      <c r="BX45" s="159">
        <v>47436</v>
      </c>
      <c r="BY45" s="46">
        <v>176579</v>
      </c>
      <c r="BZ45" s="129">
        <v>1321563</v>
      </c>
      <c r="CA45" s="45">
        <v>147469.43</v>
      </c>
      <c r="CB45" s="159">
        <v>47200</v>
      </c>
      <c r="CC45" s="46">
        <v>261634</v>
      </c>
      <c r="CD45" s="129">
        <v>1231049</v>
      </c>
      <c r="CE45" s="45">
        <v>83327.99</v>
      </c>
      <c r="CF45" s="159">
        <v>35948</v>
      </c>
      <c r="CG45" s="46">
        <v>254087</v>
      </c>
      <c r="CH45" s="129">
        <v>952792</v>
      </c>
      <c r="CI45" s="45">
        <v>85183.82</v>
      </c>
      <c r="CJ45" s="45">
        <v>51255</v>
      </c>
      <c r="CK45" s="46">
        <v>314298</v>
      </c>
      <c r="CL45" s="129">
        <v>1362324</v>
      </c>
      <c r="CM45" s="45">
        <v>91141.84</v>
      </c>
      <c r="CN45" s="156">
        <v>18922</v>
      </c>
      <c r="CO45" s="46">
        <v>242970</v>
      </c>
    </row>
    <row r="46" spans="1:93" s="2" customFormat="1" ht="11.25">
      <c r="A46" s="13" t="s">
        <v>108</v>
      </c>
      <c r="B46" s="44">
        <v>345173</v>
      </c>
      <c r="C46" s="45">
        <f>54821.57*2.2046</f>
        <v>120859.633222</v>
      </c>
      <c r="D46" s="45">
        <v>1583</v>
      </c>
      <c r="E46" s="106">
        <v>107307</v>
      </c>
      <c r="F46" s="129">
        <v>464762</v>
      </c>
      <c r="G46" s="45">
        <f>43986.95*2.2046</f>
        <v>96973.62997</v>
      </c>
      <c r="H46" s="45">
        <v>20013</v>
      </c>
      <c r="I46" s="106">
        <v>163846</v>
      </c>
      <c r="J46" s="129">
        <v>359638</v>
      </c>
      <c r="K46" s="45">
        <f>43026.31*2.2046</f>
        <v>94855.803026</v>
      </c>
      <c r="L46" s="45">
        <v>3759</v>
      </c>
      <c r="M46" s="106">
        <v>231803</v>
      </c>
      <c r="N46" s="129">
        <v>443549</v>
      </c>
      <c r="O46" s="45">
        <f>48800.81*2.2046</f>
        <v>107586.265726</v>
      </c>
      <c r="P46" s="45">
        <v>10889</v>
      </c>
      <c r="Q46" s="106">
        <v>240943</v>
      </c>
      <c r="R46" s="129">
        <v>376742</v>
      </c>
      <c r="S46" s="45">
        <f>69146.72*2.2046</f>
        <v>152440.858912</v>
      </c>
      <c r="T46" s="45">
        <v>4136</v>
      </c>
      <c r="U46" s="106">
        <v>107166</v>
      </c>
      <c r="V46" s="129">
        <v>406797</v>
      </c>
      <c r="W46" s="45">
        <f>36048.18*2.2046</f>
        <v>79471.817628</v>
      </c>
      <c r="X46" s="45">
        <v>732</v>
      </c>
      <c r="Y46" s="106">
        <v>120708</v>
      </c>
      <c r="Z46" s="129">
        <v>321275</v>
      </c>
      <c r="AA46" s="45">
        <f>38387.75*2.2046</f>
        <v>84629.63365</v>
      </c>
      <c r="AB46" s="45">
        <v>16023</v>
      </c>
      <c r="AC46" s="106">
        <v>276642</v>
      </c>
      <c r="AD46" s="129">
        <v>374008</v>
      </c>
      <c r="AE46" s="45">
        <f>45477.54*2.2046</f>
        <v>100259.78468400001</v>
      </c>
      <c r="AF46" s="45">
        <v>1080</v>
      </c>
      <c r="AG46" s="106">
        <v>239783</v>
      </c>
      <c r="AH46" s="129">
        <v>306305</v>
      </c>
      <c r="AI46" s="45">
        <f>56205.53*2.2046</f>
        <v>123910.711438</v>
      </c>
      <c r="AJ46" s="45">
        <v>7890</v>
      </c>
      <c r="AK46" s="106">
        <v>160887</v>
      </c>
      <c r="AL46" s="129">
        <v>242352</v>
      </c>
      <c r="AM46" s="45">
        <f>30039.35*2.2046</f>
        <v>66224.75101</v>
      </c>
      <c r="AN46" s="45">
        <v>8435</v>
      </c>
      <c r="AO46" s="106">
        <v>193328</v>
      </c>
      <c r="AP46" s="129">
        <v>236742</v>
      </c>
      <c r="AQ46" s="45">
        <f>19504.09*2.2046</f>
        <v>42998.716814</v>
      </c>
      <c r="AR46" s="45">
        <v>7862</v>
      </c>
      <c r="AS46" s="106">
        <v>156732</v>
      </c>
      <c r="AT46" s="129">
        <v>234613</v>
      </c>
      <c r="AU46" s="45">
        <f>21827.68*2.2046</f>
        <v>48121.303328</v>
      </c>
      <c r="AV46" s="45">
        <v>34886</v>
      </c>
      <c r="AW46" s="106">
        <v>166780</v>
      </c>
      <c r="AX46" s="129">
        <v>284195</v>
      </c>
      <c r="AY46" s="45">
        <f>19668.1*2.2046</f>
        <v>43360.29326</v>
      </c>
      <c r="AZ46" s="45">
        <v>25748</v>
      </c>
      <c r="BA46" s="106">
        <v>137717</v>
      </c>
      <c r="BB46" s="129">
        <v>187016</v>
      </c>
      <c r="BC46" s="45">
        <f>15139.07*2.2046</f>
        <v>33375.593722</v>
      </c>
      <c r="BD46" s="45">
        <v>8666</v>
      </c>
      <c r="BE46" s="106">
        <v>105309</v>
      </c>
      <c r="BF46" s="129">
        <v>141717</v>
      </c>
      <c r="BG46" s="45">
        <f>19441.64*2.2046</f>
        <v>42861.039544</v>
      </c>
      <c r="BH46" s="45">
        <v>42952</v>
      </c>
      <c r="BI46" s="106">
        <v>227675</v>
      </c>
      <c r="BJ46" s="129">
        <v>145824</v>
      </c>
      <c r="BK46" s="45">
        <f>20994.4*2.2046</f>
        <v>46284.25424</v>
      </c>
      <c r="BL46" s="45">
        <v>56962</v>
      </c>
      <c r="BM46" s="106">
        <v>179794</v>
      </c>
      <c r="BN46" s="129">
        <v>161184</v>
      </c>
      <c r="BO46" s="45">
        <v>35784</v>
      </c>
      <c r="BP46" s="45">
        <v>63358</v>
      </c>
      <c r="BQ46" s="46">
        <v>241485</v>
      </c>
      <c r="BR46" s="129">
        <v>172113</v>
      </c>
      <c r="BS46" s="45">
        <v>32489</v>
      </c>
      <c r="BT46" s="45">
        <v>52594</v>
      </c>
      <c r="BU46" s="46">
        <v>252406</v>
      </c>
      <c r="BV46" s="129">
        <v>204863</v>
      </c>
      <c r="BW46" s="45">
        <v>32303.8</v>
      </c>
      <c r="BX46" s="159">
        <v>46241</v>
      </c>
      <c r="BY46" s="46">
        <v>234327</v>
      </c>
      <c r="BZ46" s="129">
        <v>167600</v>
      </c>
      <c r="CA46" s="45">
        <v>61505.15</v>
      </c>
      <c r="CB46" s="159">
        <v>68250</v>
      </c>
      <c r="CC46" s="46">
        <v>311525</v>
      </c>
      <c r="CD46" s="129">
        <v>166604</v>
      </c>
      <c r="CE46" s="45">
        <v>70025.85</v>
      </c>
      <c r="CF46" s="156">
        <v>24914</v>
      </c>
      <c r="CG46" s="46">
        <v>322278</v>
      </c>
      <c r="CH46" s="129">
        <v>134816</v>
      </c>
      <c r="CI46" s="45">
        <v>57073.03</v>
      </c>
      <c r="CJ46" s="45">
        <v>35435</v>
      </c>
      <c r="CK46" s="46">
        <v>490212</v>
      </c>
      <c r="CL46" s="129">
        <v>108104</v>
      </c>
      <c r="CM46" s="45">
        <v>42219.54</v>
      </c>
      <c r="CN46" s="159">
        <v>14325</v>
      </c>
      <c r="CO46" s="46">
        <v>523426</v>
      </c>
    </row>
    <row r="47" spans="1:93" s="2" customFormat="1" ht="20.25" customHeight="1">
      <c r="A47" s="13" t="s">
        <v>115</v>
      </c>
      <c r="B47" s="44">
        <v>573299</v>
      </c>
      <c r="C47" s="45">
        <f>45105.61*2.2046</f>
        <v>99439.827806</v>
      </c>
      <c r="D47" s="45">
        <v>851</v>
      </c>
      <c r="E47" s="106">
        <v>171223</v>
      </c>
      <c r="F47" s="129">
        <v>637596</v>
      </c>
      <c r="G47" s="45">
        <f>40106.13*2.2046</f>
        <v>88417.974198</v>
      </c>
      <c r="H47" s="45">
        <v>1715</v>
      </c>
      <c r="I47" s="106">
        <v>279616</v>
      </c>
      <c r="J47" s="129">
        <v>453235</v>
      </c>
      <c r="K47" s="45">
        <f>45814.35*2.2046</f>
        <v>101002.31601</v>
      </c>
      <c r="L47" s="45">
        <v>64</v>
      </c>
      <c r="M47" s="106">
        <v>342407</v>
      </c>
      <c r="N47" s="129">
        <v>486059</v>
      </c>
      <c r="O47" s="45">
        <f>27156.44*2.2046</f>
        <v>59869.087624</v>
      </c>
      <c r="P47" s="45">
        <v>2429</v>
      </c>
      <c r="Q47" s="106">
        <v>231132</v>
      </c>
      <c r="R47" s="129">
        <v>339291</v>
      </c>
      <c r="S47" s="45">
        <f>27359.27*2.2046</f>
        <v>60316.246642000006</v>
      </c>
      <c r="T47" s="45">
        <v>14006</v>
      </c>
      <c r="U47" s="106">
        <v>230765</v>
      </c>
      <c r="V47" s="129">
        <v>364346</v>
      </c>
      <c r="W47" s="45">
        <f>25413.29*2.2046</f>
        <v>56026.139134000005</v>
      </c>
      <c r="X47" s="45">
        <v>25576</v>
      </c>
      <c r="Y47" s="106">
        <v>340264</v>
      </c>
      <c r="Z47" s="129">
        <v>319991</v>
      </c>
      <c r="AA47" s="45">
        <f>47424.13*2.2046</f>
        <v>104551.236998</v>
      </c>
      <c r="AB47" s="45">
        <v>1927</v>
      </c>
      <c r="AC47" s="106">
        <v>367077</v>
      </c>
      <c r="AD47" s="129">
        <v>368341</v>
      </c>
      <c r="AE47" s="45">
        <f>36677.87*2.2046</f>
        <v>80860.03220200002</v>
      </c>
      <c r="AF47" s="45">
        <v>3986</v>
      </c>
      <c r="AG47" s="106">
        <v>240619</v>
      </c>
      <c r="AH47" s="129">
        <v>413177</v>
      </c>
      <c r="AI47" s="45">
        <f>44833.41*2.2046</f>
        <v>98839.73568600001</v>
      </c>
      <c r="AJ47" s="45">
        <v>1323</v>
      </c>
      <c r="AK47" s="106">
        <v>279678</v>
      </c>
      <c r="AL47" s="129">
        <v>369260</v>
      </c>
      <c r="AM47" s="45">
        <f>65728.28*2.2046</f>
        <v>144904.566088</v>
      </c>
      <c r="AN47" s="45">
        <v>3344</v>
      </c>
      <c r="AO47" s="106">
        <v>323414</v>
      </c>
      <c r="AP47" s="129">
        <v>333086</v>
      </c>
      <c r="AQ47" s="45">
        <f>73265.72*2.2046</f>
        <v>161521.60631200002</v>
      </c>
      <c r="AR47" s="45">
        <v>1898</v>
      </c>
      <c r="AS47" s="106">
        <v>236101</v>
      </c>
      <c r="AT47" s="129">
        <v>338663</v>
      </c>
      <c r="AU47" s="45">
        <f>32241.02*2.2046</f>
        <v>71078.552692</v>
      </c>
      <c r="AV47" s="45">
        <v>2890</v>
      </c>
      <c r="AW47" s="106">
        <v>378668</v>
      </c>
      <c r="AX47" s="129">
        <v>262898</v>
      </c>
      <c r="AY47" s="45">
        <f>30480.77*2.2046</f>
        <v>67197.90554200001</v>
      </c>
      <c r="AZ47" s="45">
        <v>13353</v>
      </c>
      <c r="BA47" s="106">
        <v>268824</v>
      </c>
      <c r="BB47" s="129">
        <v>181974</v>
      </c>
      <c r="BC47" s="45">
        <f>32698.29*2.2046</f>
        <v>72086.65013400001</v>
      </c>
      <c r="BD47" s="45">
        <v>8977</v>
      </c>
      <c r="BE47" s="106">
        <v>440749</v>
      </c>
      <c r="BF47" s="129">
        <v>209659</v>
      </c>
      <c r="BG47" s="45">
        <v>62576</v>
      </c>
      <c r="BH47" s="45">
        <v>59443</v>
      </c>
      <c r="BI47" s="106">
        <v>613988</v>
      </c>
      <c r="BJ47" s="129">
        <v>200336</v>
      </c>
      <c r="BK47" s="45">
        <f>40182.41*2.2046</f>
        <v>88586.14108600002</v>
      </c>
      <c r="BL47" s="45">
        <v>46733</v>
      </c>
      <c r="BM47" s="106">
        <v>439465</v>
      </c>
      <c r="BN47" s="129">
        <v>261156</v>
      </c>
      <c r="BO47" s="45">
        <v>77620</v>
      </c>
      <c r="BP47" s="45">
        <v>74504</v>
      </c>
      <c r="BQ47" s="46">
        <v>506958</v>
      </c>
      <c r="BR47" s="129">
        <v>226771</v>
      </c>
      <c r="BS47" s="45">
        <v>79793</v>
      </c>
      <c r="BT47" s="45">
        <v>88611</v>
      </c>
      <c r="BU47" s="46">
        <v>650618</v>
      </c>
      <c r="BV47" s="129">
        <f>178824+456</f>
        <v>179280</v>
      </c>
      <c r="BW47" s="45">
        <v>57105.39</v>
      </c>
      <c r="BX47" s="159">
        <v>26770</v>
      </c>
      <c r="BY47" s="46">
        <v>323754</v>
      </c>
      <c r="BZ47" s="129">
        <v>161184</v>
      </c>
      <c r="CA47" s="45">
        <v>74927.6</v>
      </c>
      <c r="CB47" s="159">
        <v>63054</v>
      </c>
      <c r="CC47" s="46">
        <v>453744</v>
      </c>
      <c r="CD47" s="129">
        <v>134084</v>
      </c>
      <c r="CE47" s="45">
        <v>74893.56</v>
      </c>
      <c r="CF47" s="159">
        <v>13832</v>
      </c>
      <c r="CG47" s="46">
        <v>603124</v>
      </c>
      <c r="CH47" s="129">
        <v>133729</v>
      </c>
      <c r="CI47" s="45">
        <v>78419.65</v>
      </c>
      <c r="CJ47" s="225">
        <v>14733</v>
      </c>
      <c r="CK47" s="46">
        <v>850588</v>
      </c>
      <c r="CL47" s="129">
        <v>117142</v>
      </c>
      <c r="CM47" s="45">
        <v>48028.06</v>
      </c>
      <c r="CN47" s="156">
        <v>135235</v>
      </c>
      <c r="CO47" s="46">
        <v>417765</v>
      </c>
    </row>
    <row r="48" spans="1:93" s="2" customFormat="1" ht="12.75" customHeight="1">
      <c r="A48" s="13" t="s">
        <v>31</v>
      </c>
      <c r="B48" s="44">
        <v>36264</v>
      </c>
      <c r="C48" s="45">
        <f>18470.7*2.2046</f>
        <v>40720.50522000001</v>
      </c>
      <c r="D48" s="45">
        <v>0</v>
      </c>
      <c r="E48" s="106">
        <v>2352</v>
      </c>
      <c r="F48" s="129">
        <v>52764</v>
      </c>
      <c r="G48" s="45">
        <f>34454.85*2.2046</f>
        <v>75959.16231</v>
      </c>
      <c r="H48" s="45">
        <v>0</v>
      </c>
      <c r="I48" s="106">
        <v>73512</v>
      </c>
      <c r="J48" s="129">
        <v>58270</v>
      </c>
      <c r="K48" s="45">
        <f>37159.59*2.2046</f>
        <v>81922.032114</v>
      </c>
      <c r="L48" s="45">
        <v>0</v>
      </c>
      <c r="M48" s="106">
        <v>19297</v>
      </c>
      <c r="N48" s="129">
        <v>51737</v>
      </c>
      <c r="O48" s="45">
        <f>47134.24*2.2046</f>
        <v>103912.145504</v>
      </c>
      <c r="P48" s="45">
        <v>41440</v>
      </c>
      <c r="Q48" s="106">
        <v>63938</v>
      </c>
      <c r="R48" s="129">
        <v>32644</v>
      </c>
      <c r="S48" s="45">
        <f>33367.67*2.2046</f>
        <v>73562.365282</v>
      </c>
      <c r="T48" s="45">
        <v>0</v>
      </c>
      <c r="U48" s="106">
        <v>14616</v>
      </c>
      <c r="V48" s="129">
        <v>57063</v>
      </c>
      <c r="W48" s="45">
        <f>19646.81*2.2046</f>
        <v>43313.357326000005</v>
      </c>
      <c r="X48" s="45">
        <v>3058</v>
      </c>
      <c r="Y48" s="106">
        <v>22584</v>
      </c>
      <c r="Z48" s="129">
        <v>49349</v>
      </c>
      <c r="AA48" s="45">
        <f>18208.17*2.2046</f>
        <v>40141.731582</v>
      </c>
      <c r="AB48" s="45">
        <v>0</v>
      </c>
      <c r="AC48" s="106">
        <v>28012</v>
      </c>
      <c r="AD48" s="129">
        <v>45297</v>
      </c>
      <c r="AE48" s="45">
        <f>16336.23*2.2046</f>
        <v>36014.852658</v>
      </c>
      <c r="AF48" s="45">
        <v>0</v>
      </c>
      <c r="AG48" s="106">
        <v>38349</v>
      </c>
      <c r="AH48" s="129">
        <v>52139</v>
      </c>
      <c r="AI48" s="45">
        <f>18921.7*2.2046</f>
        <v>41714.77982</v>
      </c>
      <c r="AJ48" s="45">
        <v>1574</v>
      </c>
      <c r="AK48" s="106">
        <v>18653</v>
      </c>
      <c r="AL48" s="129">
        <v>27435</v>
      </c>
      <c r="AM48" s="45">
        <f>12753.03*2.2046</f>
        <v>28115.329938000003</v>
      </c>
      <c r="AN48" s="45">
        <v>170</v>
      </c>
      <c r="AO48" s="106">
        <v>35298</v>
      </c>
      <c r="AP48" s="129">
        <v>34474</v>
      </c>
      <c r="AQ48" s="45">
        <f>10212.68*2.2046</f>
        <v>22514.874328</v>
      </c>
      <c r="AR48" s="45">
        <v>0</v>
      </c>
      <c r="AS48" s="106">
        <v>28385</v>
      </c>
      <c r="AT48" s="129">
        <v>48173</v>
      </c>
      <c r="AU48" s="45">
        <f>13305.89*2.2046</f>
        <v>29334.165094</v>
      </c>
      <c r="AV48" s="45">
        <v>1021</v>
      </c>
      <c r="AW48" s="106">
        <v>45249</v>
      </c>
      <c r="AX48" s="129">
        <v>27824</v>
      </c>
      <c r="AY48" s="45">
        <f>11358.17*2.2046</f>
        <v>25040.221582000002</v>
      </c>
      <c r="AZ48" s="45">
        <v>1470</v>
      </c>
      <c r="BA48" s="106">
        <v>38223</v>
      </c>
      <c r="BB48" s="129">
        <v>26767</v>
      </c>
      <c r="BC48" s="45">
        <f>13490.23*2.2046</f>
        <v>29740.561058</v>
      </c>
      <c r="BD48" s="45">
        <v>3631</v>
      </c>
      <c r="BE48" s="106">
        <v>57390</v>
      </c>
      <c r="BF48" s="129">
        <v>20639</v>
      </c>
      <c r="BG48" s="45">
        <f>15377.85*2.2046</f>
        <v>33902.00811</v>
      </c>
      <c r="BH48" s="45">
        <v>17809</v>
      </c>
      <c r="BI48" s="106">
        <v>108418</v>
      </c>
      <c r="BJ48" s="129">
        <v>26063</v>
      </c>
      <c r="BK48" s="45">
        <f>9269.8*2.2046</f>
        <v>20436.20108</v>
      </c>
      <c r="BL48" s="45">
        <v>6030</v>
      </c>
      <c r="BM48" s="106">
        <v>122235</v>
      </c>
      <c r="BN48" s="129">
        <v>22683</v>
      </c>
      <c r="BO48" s="45">
        <v>27669</v>
      </c>
      <c r="BP48" s="45">
        <v>10404</v>
      </c>
      <c r="BQ48" s="46">
        <v>54372</v>
      </c>
      <c r="BR48" s="129">
        <v>15210</v>
      </c>
      <c r="BS48" s="45">
        <v>15330</v>
      </c>
      <c r="BT48" s="45">
        <v>10192</v>
      </c>
      <c r="BU48" s="46">
        <v>114594</v>
      </c>
      <c r="BV48" s="129">
        <v>13455</v>
      </c>
      <c r="BW48" s="45">
        <v>27603.6</v>
      </c>
      <c r="BX48" s="159">
        <v>7910</v>
      </c>
      <c r="BY48" s="46">
        <v>80443</v>
      </c>
      <c r="BZ48" s="129">
        <v>9765</v>
      </c>
      <c r="CA48" s="45">
        <v>24063.76</v>
      </c>
      <c r="CB48" s="159">
        <v>17337</v>
      </c>
      <c r="CC48" s="46">
        <v>62860</v>
      </c>
      <c r="CD48" s="129">
        <v>9327</v>
      </c>
      <c r="CE48" s="45">
        <v>21051.92</v>
      </c>
      <c r="CF48" s="159">
        <v>4667</v>
      </c>
      <c r="CG48" s="46">
        <v>46046</v>
      </c>
      <c r="CH48" s="129">
        <v>6597</v>
      </c>
      <c r="CI48" s="45">
        <v>13731.61</v>
      </c>
      <c r="CJ48" s="159">
        <v>4998</v>
      </c>
      <c r="CK48" s="46">
        <v>79676</v>
      </c>
      <c r="CL48" s="129">
        <v>6899</v>
      </c>
      <c r="CM48" s="45">
        <v>21566.1</v>
      </c>
      <c r="CN48" s="159">
        <v>5212</v>
      </c>
      <c r="CO48" s="46">
        <v>82031</v>
      </c>
    </row>
    <row r="49" spans="1:93" s="2" customFormat="1" ht="9.75" customHeight="1">
      <c r="A49" s="13" t="s">
        <v>32</v>
      </c>
      <c r="B49" s="44"/>
      <c r="C49" s="45">
        <f>10.46*2.2046</f>
        <v>23.060116000000004</v>
      </c>
      <c r="D49" s="45">
        <v>0</v>
      </c>
      <c r="E49" s="106">
        <v>0</v>
      </c>
      <c r="F49" s="129"/>
      <c r="G49" s="45">
        <f>7.72*2.2046</f>
        <v>17.019512</v>
      </c>
      <c r="H49" s="45">
        <v>0</v>
      </c>
      <c r="I49" s="106">
        <v>0</v>
      </c>
      <c r="J49" s="129"/>
      <c r="K49" s="45">
        <f>20.4*2.2046</f>
        <v>44.97384</v>
      </c>
      <c r="L49" s="45">
        <v>0</v>
      </c>
      <c r="M49" s="106">
        <v>0</v>
      </c>
      <c r="N49" s="129"/>
      <c r="O49" s="45"/>
      <c r="P49" s="45">
        <v>0</v>
      </c>
      <c r="Q49" s="106">
        <v>2443</v>
      </c>
      <c r="R49" s="129"/>
      <c r="S49" s="45">
        <f>2.71*2.2046</f>
        <v>5.9744660000000005</v>
      </c>
      <c r="T49" s="45">
        <v>0</v>
      </c>
      <c r="U49" s="106">
        <v>0</v>
      </c>
      <c r="V49" s="129">
        <v>48</v>
      </c>
      <c r="W49" s="45">
        <f>10.92*2.2046</f>
        <v>24.074232000000002</v>
      </c>
      <c r="X49" s="45">
        <v>0</v>
      </c>
      <c r="Y49" s="106">
        <v>0</v>
      </c>
      <c r="Z49" s="129">
        <v>715</v>
      </c>
      <c r="AA49" s="45">
        <f>3.63*2.2046</f>
        <v>8.002698</v>
      </c>
      <c r="AB49" s="45">
        <v>0</v>
      </c>
      <c r="AC49" s="106">
        <v>0</v>
      </c>
      <c r="AD49" s="129">
        <v>56</v>
      </c>
      <c r="AE49" s="45">
        <f>5.46*2.2046</f>
        <v>12.037116000000001</v>
      </c>
      <c r="AF49" s="45">
        <v>0</v>
      </c>
      <c r="AG49" s="106">
        <v>0</v>
      </c>
      <c r="AH49" s="129">
        <v>117</v>
      </c>
      <c r="AI49" s="45">
        <f>2.16*2.2046</f>
        <v>4.761936</v>
      </c>
      <c r="AJ49" s="45">
        <v>0</v>
      </c>
      <c r="AK49" s="106">
        <v>0</v>
      </c>
      <c r="AL49" s="129">
        <v>7</v>
      </c>
      <c r="AM49" s="45">
        <f>14.98*2.2046</f>
        <v>33.024908</v>
      </c>
      <c r="AN49" s="45">
        <v>0</v>
      </c>
      <c r="AO49" s="106">
        <v>0</v>
      </c>
      <c r="AP49" s="129">
        <v>87</v>
      </c>
      <c r="AQ49" s="45">
        <f>56.34*2.2046</f>
        <v>124.20716400000002</v>
      </c>
      <c r="AR49" s="45">
        <v>0</v>
      </c>
      <c r="AS49" s="106">
        <v>0</v>
      </c>
      <c r="AT49" s="129">
        <v>38</v>
      </c>
      <c r="AU49" s="45">
        <f>34.67*2.2046</f>
        <v>76.43348200000001</v>
      </c>
      <c r="AV49" s="45">
        <v>0</v>
      </c>
      <c r="AW49" s="106">
        <v>0</v>
      </c>
      <c r="AX49" s="129">
        <v>38</v>
      </c>
      <c r="AY49" s="45"/>
      <c r="AZ49" s="45">
        <v>0</v>
      </c>
      <c r="BA49" s="106">
        <v>0</v>
      </c>
      <c r="BB49" s="129">
        <v>98</v>
      </c>
      <c r="BC49" s="45">
        <f>539.97*2.2046</f>
        <v>1190.417862</v>
      </c>
      <c r="BD49" s="45">
        <v>0</v>
      </c>
      <c r="BE49" s="106">
        <v>0</v>
      </c>
      <c r="BF49" s="129">
        <v>17</v>
      </c>
      <c r="BG49" s="45"/>
      <c r="BH49" s="45">
        <v>0</v>
      </c>
      <c r="BI49" s="106">
        <v>0</v>
      </c>
      <c r="BJ49" s="129">
        <v>25</v>
      </c>
      <c r="BK49" s="45"/>
      <c r="BL49" s="45">
        <v>0</v>
      </c>
      <c r="BM49" s="106">
        <v>0</v>
      </c>
      <c r="BN49" s="129">
        <v>10</v>
      </c>
      <c r="BO49" s="45">
        <v>0</v>
      </c>
      <c r="BP49" s="45">
        <v>0</v>
      </c>
      <c r="BQ49" s="46">
        <v>112</v>
      </c>
      <c r="BR49" s="129">
        <v>25</v>
      </c>
      <c r="BS49" s="45">
        <v>0</v>
      </c>
      <c r="BT49" s="45">
        <v>0</v>
      </c>
      <c r="BU49" s="46">
        <v>112</v>
      </c>
      <c r="BV49" s="129">
        <v>160</v>
      </c>
      <c r="BW49" s="45">
        <v>0</v>
      </c>
      <c r="BX49" s="45">
        <v>0</v>
      </c>
      <c r="BY49" s="46">
        <v>0</v>
      </c>
      <c r="BZ49" s="129">
        <v>2</v>
      </c>
      <c r="CA49" s="45">
        <v>0</v>
      </c>
      <c r="CB49" s="45">
        <v>0</v>
      </c>
      <c r="CC49" s="46">
        <v>0</v>
      </c>
      <c r="CD49" s="129">
        <v>0</v>
      </c>
      <c r="CE49" s="45">
        <v>0</v>
      </c>
      <c r="CF49" s="45">
        <v>0</v>
      </c>
      <c r="CG49" s="46">
        <v>0</v>
      </c>
      <c r="CH49" s="129">
        <v>0</v>
      </c>
      <c r="CI49" s="45">
        <v>0</v>
      </c>
      <c r="CJ49" s="45">
        <v>0</v>
      </c>
      <c r="CK49" s="46">
        <v>0</v>
      </c>
      <c r="CL49" s="129">
        <v>38</v>
      </c>
      <c r="CM49" s="45">
        <v>42.58</v>
      </c>
      <c r="CN49" s="45">
        <v>0</v>
      </c>
      <c r="CO49" s="46">
        <v>0</v>
      </c>
    </row>
    <row r="50" spans="1:93" s="2" customFormat="1" ht="11.25">
      <c r="A50" s="13" t="s">
        <v>33</v>
      </c>
      <c r="B50" s="44"/>
      <c r="C50" s="45">
        <f>36.36*2.2046</f>
        <v>80.159256</v>
      </c>
      <c r="D50" s="45">
        <v>0</v>
      </c>
      <c r="E50" s="106">
        <v>0</v>
      </c>
      <c r="F50" s="129"/>
      <c r="G50" s="45">
        <f>56.65*2.2046</f>
        <v>124.89059</v>
      </c>
      <c r="H50" s="45">
        <v>0</v>
      </c>
      <c r="I50" s="106">
        <v>0</v>
      </c>
      <c r="J50" s="129"/>
      <c r="K50" s="45">
        <f>20.65*2.2046</f>
        <v>45.52499</v>
      </c>
      <c r="L50" s="45">
        <v>0</v>
      </c>
      <c r="M50" s="106">
        <v>0</v>
      </c>
      <c r="N50" s="129"/>
      <c r="O50" s="45">
        <f>38.19*2.2046</f>
        <v>84.193674</v>
      </c>
      <c r="P50" s="45">
        <v>0</v>
      </c>
      <c r="Q50" s="106">
        <v>0</v>
      </c>
      <c r="R50" s="129"/>
      <c r="S50" s="45">
        <f>74.68*2.2046</f>
        <v>164.639528</v>
      </c>
      <c r="T50" s="45">
        <v>0</v>
      </c>
      <c r="U50" s="106">
        <v>0</v>
      </c>
      <c r="V50" s="129">
        <v>111</v>
      </c>
      <c r="W50" s="45">
        <f>249.65*2.2046</f>
        <v>550.3783900000001</v>
      </c>
      <c r="X50" s="45">
        <v>0</v>
      </c>
      <c r="Y50" s="106">
        <v>0</v>
      </c>
      <c r="Z50" s="129">
        <v>237</v>
      </c>
      <c r="AA50" s="45">
        <f>264.06*2.2046</f>
        <v>582.1466760000001</v>
      </c>
      <c r="AB50" s="45">
        <v>0</v>
      </c>
      <c r="AC50" s="106">
        <v>0</v>
      </c>
      <c r="AD50" s="129">
        <v>175</v>
      </c>
      <c r="AE50" s="45">
        <f>146.61*2.2046</f>
        <v>323.21640600000006</v>
      </c>
      <c r="AF50" s="45">
        <v>0</v>
      </c>
      <c r="AG50" s="106">
        <v>549</v>
      </c>
      <c r="AH50" s="129">
        <v>231</v>
      </c>
      <c r="AI50" s="45">
        <f>243.48*2.2046</f>
        <v>536.776008</v>
      </c>
      <c r="AJ50" s="45">
        <v>0</v>
      </c>
      <c r="AK50" s="106">
        <v>0</v>
      </c>
      <c r="AL50" s="129">
        <v>584</v>
      </c>
      <c r="AM50" s="45">
        <f>272.95*2.2046</f>
        <v>601.74557</v>
      </c>
      <c r="AN50" s="45">
        <v>0</v>
      </c>
      <c r="AO50" s="106">
        <v>0</v>
      </c>
      <c r="AP50" s="129">
        <v>1669</v>
      </c>
      <c r="AQ50" s="45">
        <f>122.88*2.2046</f>
        <v>270.901248</v>
      </c>
      <c r="AR50" s="45">
        <v>0</v>
      </c>
      <c r="AS50" s="106">
        <v>417</v>
      </c>
      <c r="AT50" s="129">
        <v>1767</v>
      </c>
      <c r="AU50" s="45">
        <f>98.47*2.2046</f>
        <v>217.086962</v>
      </c>
      <c r="AV50" s="45">
        <v>0</v>
      </c>
      <c r="AW50" s="106">
        <v>0</v>
      </c>
      <c r="AX50" s="129">
        <v>1455</v>
      </c>
      <c r="AY50" s="45">
        <f>319.29*2.2046</f>
        <v>703.906734</v>
      </c>
      <c r="AZ50" s="45">
        <v>0</v>
      </c>
      <c r="BA50" s="106">
        <v>1005</v>
      </c>
      <c r="BB50" s="129">
        <v>571</v>
      </c>
      <c r="BC50" s="45">
        <f>23.62*2.2046</f>
        <v>52.072652000000005</v>
      </c>
      <c r="BD50" s="45">
        <v>0</v>
      </c>
      <c r="BE50" s="106">
        <v>388</v>
      </c>
      <c r="BF50" s="129">
        <v>669</v>
      </c>
      <c r="BG50" s="45">
        <f>39.68*2.2046</f>
        <v>87.478528</v>
      </c>
      <c r="BH50" s="45">
        <v>0</v>
      </c>
      <c r="BI50" s="106">
        <v>4656</v>
      </c>
      <c r="BJ50" s="129">
        <v>1008</v>
      </c>
      <c r="BK50" s="45">
        <f>104.12*2.2046</f>
        <v>229.542952</v>
      </c>
      <c r="BL50" s="45">
        <v>516</v>
      </c>
      <c r="BM50" s="106">
        <v>849</v>
      </c>
      <c r="BN50" s="129">
        <v>350</v>
      </c>
      <c r="BO50" s="45">
        <v>103</v>
      </c>
      <c r="BP50" s="45">
        <v>0</v>
      </c>
      <c r="BQ50" s="46">
        <v>351</v>
      </c>
      <c r="BR50" s="129">
        <v>283</v>
      </c>
      <c r="BS50" s="45">
        <v>115</v>
      </c>
      <c r="BT50" s="45">
        <v>0</v>
      </c>
      <c r="BU50" s="46">
        <v>6420</v>
      </c>
      <c r="BV50" s="129">
        <v>363</v>
      </c>
      <c r="BW50" s="45">
        <v>103.6</v>
      </c>
      <c r="BX50" s="45">
        <v>0</v>
      </c>
      <c r="BY50" s="159">
        <v>7304</v>
      </c>
      <c r="BZ50" s="129">
        <v>148</v>
      </c>
      <c r="CA50" s="45">
        <v>21.32</v>
      </c>
      <c r="CB50" s="45">
        <v>57</v>
      </c>
      <c r="CC50" s="46">
        <v>428</v>
      </c>
      <c r="CD50" s="129">
        <v>499</v>
      </c>
      <c r="CE50" s="45">
        <v>314.24</v>
      </c>
      <c r="CF50" s="45">
        <v>0</v>
      </c>
      <c r="CG50" s="46">
        <v>556</v>
      </c>
      <c r="CH50" s="129">
        <v>253</v>
      </c>
      <c r="CI50" s="45">
        <v>49.62</v>
      </c>
      <c r="CJ50" s="45">
        <v>602</v>
      </c>
      <c r="CK50" s="46">
        <v>15900</v>
      </c>
      <c r="CL50" s="129">
        <v>559</v>
      </c>
      <c r="CM50" s="45">
        <v>673.32</v>
      </c>
      <c r="CN50" s="45">
        <v>0</v>
      </c>
      <c r="CO50" s="46">
        <v>0</v>
      </c>
    </row>
    <row r="51" spans="1:93" s="2" customFormat="1" ht="11.25">
      <c r="A51" s="13" t="s">
        <v>110</v>
      </c>
      <c r="B51" s="44"/>
      <c r="C51" s="45">
        <f>347.08*2.2046</f>
        <v>765.172568</v>
      </c>
      <c r="D51" s="45">
        <v>0</v>
      </c>
      <c r="E51" s="106">
        <v>0</v>
      </c>
      <c r="F51" s="129"/>
      <c r="G51" s="45">
        <f>418.94*2.2046</f>
        <v>923.595124</v>
      </c>
      <c r="H51" s="45">
        <v>0</v>
      </c>
      <c r="I51" s="106">
        <v>2352</v>
      </c>
      <c r="J51" s="129"/>
      <c r="K51" s="45">
        <f>294.33*2.2046</f>
        <v>648.879918</v>
      </c>
      <c r="L51" s="45">
        <v>0</v>
      </c>
      <c r="M51" s="106">
        <v>0</v>
      </c>
      <c r="N51" s="129"/>
      <c r="O51" s="45">
        <f>492.73*2.2046</f>
        <v>1086.2725580000001</v>
      </c>
      <c r="P51" s="45">
        <v>0</v>
      </c>
      <c r="Q51" s="106">
        <v>0</v>
      </c>
      <c r="R51" s="129"/>
      <c r="S51" s="45">
        <f>693.48*2.2046</f>
        <v>1528.8460080000002</v>
      </c>
      <c r="T51" s="45">
        <v>0</v>
      </c>
      <c r="U51" s="106">
        <v>0</v>
      </c>
      <c r="V51" s="129">
        <v>7</v>
      </c>
      <c r="W51" s="45">
        <f>233.02*2.2046</f>
        <v>513.715892</v>
      </c>
      <c r="X51" s="45">
        <v>0</v>
      </c>
      <c r="Y51" s="106">
        <v>0</v>
      </c>
      <c r="Z51" s="129">
        <v>67</v>
      </c>
      <c r="AA51" s="45">
        <f>834.51*2.2046</f>
        <v>1839.7607460000002</v>
      </c>
      <c r="AB51" s="45">
        <v>0</v>
      </c>
      <c r="AC51" s="106">
        <v>3933</v>
      </c>
      <c r="AD51" s="129">
        <v>58</v>
      </c>
      <c r="AE51" s="45">
        <f>1151.99*2.2046</f>
        <v>2539.677154</v>
      </c>
      <c r="AF51" s="45">
        <v>0</v>
      </c>
      <c r="AG51" s="106">
        <v>9348</v>
      </c>
      <c r="AH51" s="129">
        <v>5</v>
      </c>
      <c r="AI51" s="45">
        <f>932.66*2.2046</f>
        <v>2056.142236</v>
      </c>
      <c r="AJ51" s="45">
        <v>0</v>
      </c>
      <c r="AK51" s="106">
        <v>2672</v>
      </c>
      <c r="AL51" s="129">
        <v>86</v>
      </c>
      <c r="AM51" s="45">
        <f>606.4*2.2046</f>
        <v>1336.86944</v>
      </c>
      <c r="AN51" s="45">
        <v>0</v>
      </c>
      <c r="AO51" s="106">
        <v>3693</v>
      </c>
      <c r="AP51" s="129">
        <v>59</v>
      </c>
      <c r="AQ51" s="45">
        <f>502.58*2.2046</f>
        <v>1107.987868</v>
      </c>
      <c r="AR51" s="45">
        <v>0</v>
      </c>
      <c r="AS51" s="106">
        <v>1005</v>
      </c>
      <c r="AT51" s="129">
        <v>163</v>
      </c>
      <c r="AU51" s="45">
        <f>234.11*2.2046</f>
        <v>516.118906</v>
      </c>
      <c r="AV51" s="45">
        <v>0</v>
      </c>
      <c r="AW51" s="106">
        <v>615</v>
      </c>
      <c r="AX51" s="129">
        <v>75</v>
      </c>
      <c r="AY51" s="45">
        <f>142.43*2.2046</f>
        <v>314.00117800000004</v>
      </c>
      <c r="AZ51" s="45">
        <v>0</v>
      </c>
      <c r="BA51" s="106">
        <v>2373</v>
      </c>
      <c r="BB51" s="129">
        <v>42</v>
      </c>
      <c r="BC51" s="45">
        <f>466.7*2.2046</f>
        <v>1028.88682</v>
      </c>
      <c r="BD51" s="45">
        <v>0</v>
      </c>
      <c r="BE51" s="106">
        <v>1031</v>
      </c>
      <c r="BF51" s="129">
        <v>3</v>
      </c>
      <c r="BG51" s="45">
        <f>197.19*2.2046</f>
        <v>434.725074</v>
      </c>
      <c r="BH51" s="45">
        <v>0</v>
      </c>
      <c r="BI51" s="106">
        <v>924</v>
      </c>
      <c r="BJ51" s="129">
        <v>7</v>
      </c>
      <c r="BK51" s="45">
        <f>622.2046*2.2046</f>
        <v>1371.71226116</v>
      </c>
      <c r="BL51" s="45">
        <v>0</v>
      </c>
      <c r="BM51" s="106">
        <v>571</v>
      </c>
      <c r="BN51" s="129">
        <v>37</v>
      </c>
      <c r="BO51" s="45">
        <v>650</v>
      </c>
      <c r="BP51" s="45">
        <v>0</v>
      </c>
      <c r="BQ51" s="46">
        <v>604</v>
      </c>
      <c r="BR51" s="129">
        <v>18</v>
      </c>
      <c r="BS51" s="45">
        <v>99</v>
      </c>
      <c r="BT51" s="45">
        <v>0</v>
      </c>
      <c r="BU51" s="46">
        <v>1863</v>
      </c>
      <c r="BV51" s="129">
        <v>44</v>
      </c>
      <c r="BW51" s="45">
        <v>1058.2</v>
      </c>
      <c r="BX51" s="45">
        <v>0</v>
      </c>
      <c r="BY51" s="46">
        <v>0</v>
      </c>
      <c r="BZ51" s="129">
        <v>4</v>
      </c>
      <c r="CA51" s="45">
        <v>670.88</v>
      </c>
      <c r="CB51" s="45">
        <v>0</v>
      </c>
      <c r="CC51" s="46">
        <v>399</v>
      </c>
      <c r="CD51" s="129">
        <v>14</v>
      </c>
      <c r="CE51" s="45">
        <v>657.28</v>
      </c>
      <c r="CF51" s="45">
        <v>0</v>
      </c>
      <c r="CG51" s="46">
        <v>5622</v>
      </c>
      <c r="CH51" s="129">
        <v>1</v>
      </c>
      <c r="CI51" s="45">
        <v>159.91</v>
      </c>
      <c r="CJ51" s="45">
        <v>0</v>
      </c>
      <c r="CK51" s="46">
        <v>3935</v>
      </c>
      <c r="CL51" s="129">
        <v>689</v>
      </c>
      <c r="CM51" s="45">
        <v>523.21</v>
      </c>
      <c r="CN51" s="45">
        <v>0</v>
      </c>
      <c r="CO51" s="46">
        <v>2379</v>
      </c>
    </row>
    <row r="52" spans="1:93" s="2" customFormat="1" ht="15" customHeight="1">
      <c r="A52" s="13" t="s">
        <v>34</v>
      </c>
      <c r="B52" s="44">
        <v>3436</v>
      </c>
      <c r="C52" s="45">
        <f>461.07*2.2046</f>
        <v>1016.474922</v>
      </c>
      <c r="D52" s="45">
        <v>7553</v>
      </c>
      <c r="E52" s="106">
        <v>57289</v>
      </c>
      <c r="F52" s="129">
        <v>2927</v>
      </c>
      <c r="G52" s="45">
        <f>59.87*2.2046</f>
        <v>131.989402</v>
      </c>
      <c r="H52" s="45">
        <v>0</v>
      </c>
      <c r="I52" s="106">
        <v>0</v>
      </c>
      <c r="J52" s="129">
        <v>9382</v>
      </c>
      <c r="K52" s="45">
        <f>210.57*2.2046</f>
        <v>464.222622</v>
      </c>
      <c r="L52" s="45">
        <v>0</v>
      </c>
      <c r="M52" s="106">
        <v>0</v>
      </c>
      <c r="N52" s="129">
        <v>10842</v>
      </c>
      <c r="O52" s="45">
        <f>207.91*2.2046</f>
        <v>458.358386</v>
      </c>
      <c r="P52" s="45">
        <v>0</v>
      </c>
      <c r="Q52" s="106">
        <v>0</v>
      </c>
      <c r="R52" s="129">
        <v>9032</v>
      </c>
      <c r="S52" s="45">
        <f>296.36*2.2046</f>
        <v>653.355256</v>
      </c>
      <c r="T52" s="45">
        <v>0</v>
      </c>
      <c r="U52" s="106">
        <v>0</v>
      </c>
      <c r="V52" s="129">
        <v>9073</v>
      </c>
      <c r="W52" s="45">
        <f>457.21*2.2046</f>
        <v>1007.965166</v>
      </c>
      <c r="X52" s="45">
        <v>0</v>
      </c>
      <c r="Y52" s="106">
        <v>4063</v>
      </c>
      <c r="Z52" s="129">
        <v>10125</v>
      </c>
      <c r="AA52" s="45">
        <f>559.7*2.2046</f>
        <v>1233.9146200000002</v>
      </c>
      <c r="AB52" s="45">
        <v>0</v>
      </c>
      <c r="AC52" s="106">
        <v>0</v>
      </c>
      <c r="AD52" s="129">
        <v>7612</v>
      </c>
      <c r="AE52" s="45">
        <f>301.44*2.2046</f>
        <v>664.554624</v>
      </c>
      <c r="AF52" s="45">
        <v>0</v>
      </c>
      <c r="AG52" s="106">
        <v>35679</v>
      </c>
      <c r="AH52" s="129">
        <v>3409</v>
      </c>
      <c r="AI52" s="45">
        <f>359.97*2.2046</f>
        <v>793.5898620000002</v>
      </c>
      <c r="AJ52" s="45">
        <v>0</v>
      </c>
      <c r="AK52" s="106">
        <v>0</v>
      </c>
      <c r="AL52" s="129">
        <v>8208</v>
      </c>
      <c r="AM52" s="45">
        <f>803.39*2.2046</f>
        <v>1771.153594</v>
      </c>
      <c r="AN52" s="45">
        <v>0</v>
      </c>
      <c r="AO52" s="106">
        <v>4572</v>
      </c>
      <c r="AP52" s="129">
        <v>6032</v>
      </c>
      <c r="AQ52" s="45">
        <f>161.69*2.2046</f>
        <v>356.461774</v>
      </c>
      <c r="AR52" s="45">
        <v>99</v>
      </c>
      <c r="AS52" s="106">
        <v>2994</v>
      </c>
      <c r="AT52" s="129">
        <v>5360</v>
      </c>
      <c r="AU52" s="45">
        <f>1645.09*2.2046</f>
        <v>3626.765414</v>
      </c>
      <c r="AV52" s="45">
        <v>0</v>
      </c>
      <c r="AW52" s="106">
        <v>0</v>
      </c>
      <c r="AX52" s="129">
        <v>7730</v>
      </c>
      <c r="AY52" s="45">
        <f>2329.61*2.2046</f>
        <v>5135.858206000001</v>
      </c>
      <c r="AZ52" s="45">
        <v>653</v>
      </c>
      <c r="BA52" s="106">
        <v>425</v>
      </c>
      <c r="BB52" s="129">
        <v>4143</v>
      </c>
      <c r="BC52" s="45">
        <f>2232.85*2.2046</f>
        <v>4922.54111</v>
      </c>
      <c r="BD52" s="45">
        <v>0</v>
      </c>
      <c r="BE52" s="106">
        <v>584</v>
      </c>
      <c r="BF52" s="129">
        <v>4234</v>
      </c>
      <c r="BG52" s="45">
        <f>603.14*2.2046</f>
        <v>1329.682444</v>
      </c>
      <c r="BH52" s="45">
        <v>2590</v>
      </c>
      <c r="BI52" s="106">
        <v>5494</v>
      </c>
      <c r="BJ52" s="129">
        <v>3145</v>
      </c>
      <c r="BK52" s="45">
        <f>791.73*2.2046</f>
        <v>1745.4479580000002</v>
      </c>
      <c r="BL52" s="45">
        <v>3084</v>
      </c>
      <c r="BM52" s="106">
        <v>22440</v>
      </c>
      <c r="BN52" s="129">
        <v>4332</v>
      </c>
      <c r="BO52" s="45">
        <v>2813</v>
      </c>
      <c r="BP52" s="45">
        <v>831</v>
      </c>
      <c r="BQ52" s="46">
        <v>22028</v>
      </c>
      <c r="BR52" s="129">
        <v>3715</v>
      </c>
      <c r="BS52" s="45">
        <v>2225</v>
      </c>
      <c r="BT52" s="45">
        <v>0</v>
      </c>
      <c r="BU52" s="46">
        <v>11248</v>
      </c>
      <c r="BV52" s="154">
        <v>2646</v>
      </c>
      <c r="BW52" s="45">
        <v>2460.32</v>
      </c>
      <c r="BX52" s="45">
        <v>0</v>
      </c>
      <c r="BY52" s="46">
        <v>0</v>
      </c>
      <c r="BZ52" s="154">
        <v>1633</v>
      </c>
      <c r="CA52" s="45">
        <v>704.59</v>
      </c>
      <c r="CB52" s="45">
        <v>0</v>
      </c>
      <c r="CC52" s="46">
        <v>3162</v>
      </c>
      <c r="CD52" s="154">
        <v>3801</v>
      </c>
      <c r="CE52" s="45">
        <v>4263.47</v>
      </c>
      <c r="CF52" s="45">
        <v>1360</v>
      </c>
      <c r="CG52" s="46">
        <v>0</v>
      </c>
      <c r="CH52" s="154">
        <v>4719</v>
      </c>
      <c r="CI52" s="45">
        <v>11788.62</v>
      </c>
      <c r="CJ52" s="45">
        <v>0</v>
      </c>
      <c r="CK52" s="46">
        <v>0</v>
      </c>
      <c r="CL52" s="154">
        <v>7263</v>
      </c>
      <c r="CM52" s="45">
        <v>3869.73</v>
      </c>
      <c r="CN52" s="45">
        <v>0</v>
      </c>
      <c r="CO52" s="46">
        <v>0</v>
      </c>
    </row>
    <row r="53" spans="1:93" s="2" customFormat="1" ht="15" customHeight="1">
      <c r="A53" s="14" t="s">
        <v>25</v>
      </c>
      <c r="B53" s="48">
        <v>66</v>
      </c>
      <c r="C53" s="49">
        <f>2664.88*2.2046</f>
        <v>5874.994448</v>
      </c>
      <c r="D53" s="49">
        <v>0</v>
      </c>
      <c r="E53" s="120">
        <v>0</v>
      </c>
      <c r="F53" s="116">
        <v>254</v>
      </c>
      <c r="G53" s="49">
        <f>1913.6*2.2046</f>
        <v>4218.72256</v>
      </c>
      <c r="H53" s="49">
        <v>35</v>
      </c>
      <c r="I53" s="120">
        <v>2156</v>
      </c>
      <c r="J53" s="116"/>
      <c r="K53" s="49">
        <f>1156.94*2.2046</f>
        <v>2550.5899240000003</v>
      </c>
      <c r="L53" s="49">
        <v>146</v>
      </c>
      <c r="M53" s="120">
        <v>0</v>
      </c>
      <c r="N53" s="116">
        <v>3</v>
      </c>
      <c r="O53" s="49">
        <f>1337.63*2.2046</f>
        <v>2948.9390980000003</v>
      </c>
      <c r="P53" s="49">
        <v>0</v>
      </c>
      <c r="Q53" s="120">
        <v>0</v>
      </c>
      <c r="R53" s="116">
        <v>88</v>
      </c>
      <c r="S53" s="49">
        <f>1069.62*2.2046</f>
        <v>2358.084252</v>
      </c>
      <c r="T53" s="49">
        <v>0</v>
      </c>
      <c r="U53" s="120">
        <v>0</v>
      </c>
      <c r="V53" s="116">
        <v>1155</v>
      </c>
      <c r="W53" s="49">
        <f>975.23*2.2046</f>
        <v>2149.9920580000003</v>
      </c>
      <c r="X53" s="49">
        <v>0</v>
      </c>
      <c r="Y53" s="120">
        <v>1967</v>
      </c>
      <c r="Z53" s="116">
        <v>294</v>
      </c>
      <c r="AA53" s="49">
        <f>722.79*2.2046</f>
        <v>1593.462834</v>
      </c>
      <c r="AB53" s="49">
        <v>0</v>
      </c>
      <c r="AC53" s="120">
        <v>0</v>
      </c>
      <c r="AD53" s="116">
        <v>27</v>
      </c>
      <c r="AE53" s="49">
        <f>608.94*2.2046</f>
        <v>1342.4691240000002</v>
      </c>
      <c r="AF53" s="49">
        <v>0</v>
      </c>
      <c r="AG53" s="120">
        <v>1197</v>
      </c>
      <c r="AH53" s="116">
        <v>183</v>
      </c>
      <c r="AI53" s="49">
        <f>990.83*2.2046</f>
        <v>2184.3838180000002</v>
      </c>
      <c r="AJ53" s="49">
        <v>18</v>
      </c>
      <c r="AK53" s="120">
        <v>0</v>
      </c>
      <c r="AL53" s="116">
        <v>1745</v>
      </c>
      <c r="AM53" s="49">
        <f>1830.48*2.2046</f>
        <v>4035.476208</v>
      </c>
      <c r="AN53" s="49">
        <v>82</v>
      </c>
      <c r="AO53" s="120">
        <v>0</v>
      </c>
      <c r="AP53" s="116">
        <v>289</v>
      </c>
      <c r="AQ53" s="49">
        <f>874.31*2.2046</f>
        <v>1927.503826</v>
      </c>
      <c r="AR53" s="49">
        <v>0</v>
      </c>
      <c r="AS53" s="120">
        <v>683</v>
      </c>
      <c r="AT53" s="116">
        <v>488</v>
      </c>
      <c r="AU53" s="49">
        <f>1088.84*2.2046</f>
        <v>2400.456664</v>
      </c>
      <c r="AV53" s="49">
        <v>0</v>
      </c>
      <c r="AW53" s="120">
        <v>714</v>
      </c>
      <c r="AX53" s="116">
        <v>1017</v>
      </c>
      <c r="AY53" s="49">
        <f>542.7*2.2046</f>
        <v>1196.4364200000002</v>
      </c>
      <c r="AZ53" s="49">
        <v>278</v>
      </c>
      <c r="BA53" s="120">
        <v>3212</v>
      </c>
      <c r="BB53" s="116">
        <v>1400</v>
      </c>
      <c r="BC53" s="49">
        <f>306.77*2.2046</f>
        <v>676.305142</v>
      </c>
      <c r="BD53" s="49">
        <v>0</v>
      </c>
      <c r="BE53" s="120">
        <v>121</v>
      </c>
      <c r="BF53" s="116">
        <v>641</v>
      </c>
      <c r="BG53" s="49">
        <f>486.96*2.2046</f>
        <v>1073.552016</v>
      </c>
      <c r="BH53" s="49">
        <v>0</v>
      </c>
      <c r="BI53" s="120">
        <v>0</v>
      </c>
      <c r="BJ53" s="116">
        <v>1906</v>
      </c>
      <c r="BK53" s="49">
        <f>366.98*2.2046</f>
        <v>809.044108</v>
      </c>
      <c r="BL53" s="49">
        <v>66</v>
      </c>
      <c r="BM53" s="120">
        <v>1091</v>
      </c>
      <c r="BN53" s="116">
        <v>1680</v>
      </c>
      <c r="BO53" s="49">
        <v>1357</v>
      </c>
      <c r="BP53" s="49">
        <v>564</v>
      </c>
      <c r="BQ53" s="50">
        <v>626</v>
      </c>
      <c r="BR53" s="116">
        <v>975</v>
      </c>
      <c r="BS53" s="49">
        <v>938</v>
      </c>
      <c r="BT53" s="49">
        <v>775</v>
      </c>
      <c r="BU53" s="50">
        <v>4246</v>
      </c>
      <c r="BV53" s="116">
        <v>1275</v>
      </c>
      <c r="BW53" s="49">
        <v>952.3</v>
      </c>
      <c r="BX53" s="49">
        <v>0</v>
      </c>
      <c r="BY53" s="50">
        <v>0</v>
      </c>
      <c r="BZ53" s="116">
        <v>5697</v>
      </c>
      <c r="CA53" s="49">
        <v>962.83</v>
      </c>
      <c r="CB53" s="49">
        <v>0</v>
      </c>
      <c r="CC53" s="50">
        <v>317</v>
      </c>
      <c r="CD53" s="116">
        <v>2709</v>
      </c>
      <c r="CE53" s="49">
        <v>436.33</v>
      </c>
      <c r="CF53" s="49">
        <v>0</v>
      </c>
      <c r="CG53" s="50">
        <v>414</v>
      </c>
      <c r="CH53" s="116">
        <v>1881</v>
      </c>
      <c r="CI53" s="49">
        <v>799.47</v>
      </c>
      <c r="CJ53" s="49">
        <v>498</v>
      </c>
      <c r="CK53" s="50">
        <v>395</v>
      </c>
      <c r="CL53" s="116">
        <v>405</v>
      </c>
      <c r="CM53" s="49">
        <v>2606.8</v>
      </c>
      <c r="CN53" s="49">
        <v>739</v>
      </c>
      <c r="CO53" s="50">
        <v>13208</v>
      </c>
    </row>
    <row r="54" spans="1:93" s="52" customFormat="1" ht="11.25">
      <c r="A54" s="14" t="s">
        <v>62</v>
      </c>
      <c r="B54" s="48"/>
      <c r="C54" s="49"/>
      <c r="D54" s="49">
        <v>0</v>
      </c>
      <c r="E54" s="120">
        <v>0</v>
      </c>
      <c r="F54" s="116"/>
      <c r="G54" s="49"/>
      <c r="H54" s="49">
        <v>0</v>
      </c>
      <c r="I54" s="120">
        <v>1832</v>
      </c>
      <c r="J54" s="116"/>
      <c r="K54" s="49"/>
      <c r="L54" s="49">
        <v>0</v>
      </c>
      <c r="M54" s="120">
        <v>0</v>
      </c>
      <c r="N54" s="116"/>
      <c r="O54" s="49"/>
      <c r="P54" s="49">
        <v>0</v>
      </c>
      <c r="Q54" s="120">
        <v>0</v>
      </c>
      <c r="R54" s="116"/>
      <c r="S54" s="49"/>
      <c r="T54" s="49">
        <v>0</v>
      </c>
      <c r="U54" s="120">
        <v>0</v>
      </c>
      <c r="V54" s="116"/>
      <c r="W54" s="49"/>
      <c r="X54" s="49">
        <v>0</v>
      </c>
      <c r="Y54" s="120">
        <v>0</v>
      </c>
      <c r="Z54" s="116"/>
      <c r="AA54" s="49"/>
      <c r="AB54" s="49">
        <v>0</v>
      </c>
      <c r="AC54" s="120">
        <v>472</v>
      </c>
      <c r="AD54" s="116"/>
      <c r="AE54" s="49"/>
      <c r="AF54" s="49">
        <v>0</v>
      </c>
      <c r="AG54" s="120">
        <v>686</v>
      </c>
      <c r="AH54" s="116"/>
      <c r="AI54" s="49"/>
      <c r="AJ54" s="49">
        <v>0</v>
      </c>
      <c r="AK54" s="120">
        <v>0</v>
      </c>
      <c r="AL54" s="116"/>
      <c r="AM54" s="49"/>
      <c r="AN54" s="49">
        <v>0</v>
      </c>
      <c r="AO54" s="120">
        <v>0</v>
      </c>
      <c r="AP54" s="116"/>
      <c r="AQ54" s="49"/>
      <c r="AR54" s="49">
        <v>0</v>
      </c>
      <c r="AS54" s="120">
        <v>1618</v>
      </c>
      <c r="AT54" s="116"/>
      <c r="AU54" s="49"/>
      <c r="AV54" s="49">
        <v>0</v>
      </c>
      <c r="AW54" s="120">
        <v>0</v>
      </c>
      <c r="AX54" s="116"/>
      <c r="AY54" s="49"/>
      <c r="AZ54" s="49">
        <v>0</v>
      </c>
      <c r="BA54" s="120">
        <v>0</v>
      </c>
      <c r="BB54" s="116"/>
      <c r="BC54" s="49"/>
      <c r="BD54" s="49">
        <v>0</v>
      </c>
      <c r="BE54" s="120">
        <v>767</v>
      </c>
      <c r="BF54" s="116"/>
      <c r="BG54" s="49"/>
      <c r="BH54" s="49">
        <v>0</v>
      </c>
      <c r="BI54" s="120">
        <v>1455</v>
      </c>
      <c r="BJ54" s="116"/>
      <c r="BK54" s="49"/>
      <c r="BL54" s="49">
        <v>366</v>
      </c>
      <c r="BM54" s="120">
        <v>0</v>
      </c>
      <c r="BN54" s="116">
        <v>0</v>
      </c>
      <c r="BO54" s="49">
        <v>0</v>
      </c>
      <c r="BP54" s="49">
        <v>0</v>
      </c>
      <c r="BQ54" s="50">
        <v>254</v>
      </c>
      <c r="BR54" s="116">
        <v>0</v>
      </c>
      <c r="BS54" s="49">
        <v>0</v>
      </c>
      <c r="BT54" s="49">
        <v>0</v>
      </c>
      <c r="BU54" s="50">
        <v>0</v>
      </c>
      <c r="BV54" s="116">
        <v>0</v>
      </c>
      <c r="BW54" s="49">
        <v>0</v>
      </c>
      <c r="BX54" s="49">
        <v>0</v>
      </c>
      <c r="BY54" s="50">
        <v>0</v>
      </c>
      <c r="BZ54" s="116">
        <v>0</v>
      </c>
      <c r="CA54" s="49">
        <v>8.38</v>
      </c>
      <c r="CB54" s="49">
        <v>0</v>
      </c>
      <c r="CC54" s="50">
        <v>0</v>
      </c>
      <c r="CD54" s="116">
        <v>0</v>
      </c>
      <c r="CE54" s="49">
        <v>0</v>
      </c>
      <c r="CF54" s="49">
        <v>0</v>
      </c>
      <c r="CG54" s="50">
        <v>829</v>
      </c>
      <c r="CH54" s="116">
        <v>0</v>
      </c>
      <c r="CI54" s="49">
        <v>0</v>
      </c>
      <c r="CJ54" s="49">
        <v>0</v>
      </c>
      <c r="CK54" s="50">
        <v>0</v>
      </c>
      <c r="CL54" s="116">
        <v>0</v>
      </c>
      <c r="CM54" s="49">
        <v>7.74</v>
      </c>
      <c r="CN54" s="49"/>
      <c r="CO54" s="50"/>
    </row>
    <row r="55" spans="1:93" s="52" customFormat="1" ht="11.25">
      <c r="A55" s="30" t="s">
        <v>43</v>
      </c>
      <c r="B55" s="48">
        <v>55546</v>
      </c>
      <c r="C55" s="49">
        <f>828.9*2.2046</f>
        <v>1827.39294</v>
      </c>
      <c r="D55" s="49">
        <v>0</v>
      </c>
      <c r="E55" s="120">
        <v>239274</v>
      </c>
      <c r="F55" s="116">
        <v>73215</v>
      </c>
      <c r="G55" s="49">
        <f>542.43*2.2046</f>
        <v>1195.841178</v>
      </c>
      <c r="H55" s="49">
        <v>17286</v>
      </c>
      <c r="I55" s="120">
        <v>104088</v>
      </c>
      <c r="J55" s="116">
        <v>74412</v>
      </c>
      <c r="K55" s="49">
        <f>625.6*2.2046</f>
        <v>1379.19776</v>
      </c>
      <c r="L55" s="49">
        <v>487</v>
      </c>
      <c r="M55" s="120">
        <v>64809</v>
      </c>
      <c r="N55" s="116">
        <v>93667</v>
      </c>
      <c r="O55" s="49">
        <f>268.82*2.2046</f>
        <v>592.640572</v>
      </c>
      <c r="P55" s="49">
        <v>2628</v>
      </c>
      <c r="Q55" s="120">
        <v>0</v>
      </c>
      <c r="R55" s="116">
        <v>103918</v>
      </c>
      <c r="S55" s="49">
        <f>379.04*2.2046</f>
        <v>835.6315840000001</v>
      </c>
      <c r="T55" s="49">
        <v>0</v>
      </c>
      <c r="U55" s="120">
        <v>11060</v>
      </c>
      <c r="V55" s="116">
        <v>93918</v>
      </c>
      <c r="W55" s="49">
        <f>2321.89*2.2046</f>
        <v>5118.838694</v>
      </c>
      <c r="X55" s="49">
        <v>0</v>
      </c>
      <c r="Y55" s="120">
        <v>52525</v>
      </c>
      <c r="Z55" s="116">
        <v>117572</v>
      </c>
      <c r="AA55" s="49">
        <f>2058.25*2.2046</f>
        <v>4537.61795</v>
      </c>
      <c r="AB55" s="49">
        <v>1876</v>
      </c>
      <c r="AC55" s="120">
        <v>70730</v>
      </c>
      <c r="AD55" s="116">
        <v>126482</v>
      </c>
      <c r="AE55" s="49">
        <f>965.94*2.2046</f>
        <v>2129.511324</v>
      </c>
      <c r="AF55" s="49">
        <v>1962</v>
      </c>
      <c r="AG55" s="120">
        <v>87298</v>
      </c>
      <c r="AH55" s="116">
        <v>85807</v>
      </c>
      <c r="AI55" s="49">
        <f>754.08*2.2046</f>
        <v>1662.444768</v>
      </c>
      <c r="AJ55" s="49">
        <v>62</v>
      </c>
      <c r="AK55" s="120">
        <v>84531</v>
      </c>
      <c r="AL55" s="116">
        <v>84378</v>
      </c>
      <c r="AM55" s="49">
        <f>1754.46*2.2046</f>
        <v>3867.882516</v>
      </c>
      <c r="AN55" s="49">
        <v>32760</v>
      </c>
      <c r="AO55" s="120">
        <v>122479</v>
      </c>
      <c r="AP55" s="116">
        <v>60465</v>
      </c>
      <c r="AQ55" s="49">
        <f>1059.9*2.2046</f>
        <v>2336.65554</v>
      </c>
      <c r="AR55" s="49"/>
      <c r="AS55" s="120">
        <v>78102</v>
      </c>
      <c r="AT55" s="116">
        <v>72064</v>
      </c>
      <c r="AU55" s="49">
        <f>829.09*2.2046</f>
        <v>1827.8118140000001</v>
      </c>
      <c r="AV55" s="49">
        <v>448</v>
      </c>
      <c r="AW55" s="120">
        <v>48810</v>
      </c>
      <c r="AX55" s="116">
        <v>55860</v>
      </c>
      <c r="AY55" s="49">
        <f>1221.22*2.2046</f>
        <v>2692.301612</v>
      </c>
      <c r="AZ55" s="49">
        <v>604</v>
      </c>
      <c r="BA55" s="120">
        <v>36817</v>
      </c>
      <c r="BB55" s="116">
        <v>61863</v>
      </c>
      <c r="BC55" s="49">
        <f>1561.93*2.2046</f>
        <v>3443.430878</v>
      </c>
      <c r="BD55" s="49">
        <v>60</v>
      </c>
      <c r="BE55" s="120">
        <v>80254</v>
      </c>
      <c r="BF55" s="116">
        <v>54386</v>
      </c>
      <c r="BG55" s="49">
        <f>1618.69*2.2046</f>
        <v>3568.563974</v>
      </c>
      <c r="BH55" s="49">
        <v>79</v>
      </c>
      <c r="BI55" s="120">
        <v>34947</v>
      </c>
      <c r="BJ55" s="116">
        <v>43773</v>
      </c>
      <c r="BK55" s="49">
        <f>1319.86*2.2046</f>
        <v>2909.763356</v>
      </c>
      <c r="BL55" s="49">
        <v>282</v>
      </c>
      <c r="BM55" s="120">
        <v>62921</v>
      </c>
      <c r="BN55" s="116">
        <v>50548</v>
      </c>
      <c r="BO55" s="49">
        <v>2043</v>
      </c>
      <c r="BP55" s="49">
        <v>4949</v>
      </c>
      <c r="BQ55" s="50">
        <v>80772</v>
      </c>
      <c r="BR55" s="116">
        <v>57110</v>
      </c>
      <c r="BS55" s="49">
        <v>349</v>
      </c>
      <c r="BT55" s="49">
        <v>590</v>
      </c>
      <c r="BU55" s="50">
        <v>33063</v>
      </c>
      <c r="BV55" s="116">
        <v>46751</v>
      </c>
      <c r="BW55" s="49">
        <v>1735</v>
      </c>
      <c r="BX55" s="159">
        <v>1164</v>
      </c>
      <c r="BY55" s="159">
        <v>81813</v>
      </c>
      <c r="BZ55" s="116">
        <v>35755</v>
      </c>
      <c r="CA55" s="49">
        <v>1042.88</v>
      </c>
      <c r="CB55" s="160">
        <v>551</v>
      </c>
      <c r="CC55" s="50">
        <v>110743</v>
      </c>
      <c r="CD55" s="116">
        <v>37353</v>
      </c>
      <c r="CE55" s="49">
        <v>1259.46</v>
      </c>
      <c r="CF55" s="49">
        <v>0</v>
      </c>
      <c r="CG55" s="50">
        <v>57137</v>
      </c>
      <c r="CH55" s="116">
        <v>36422</v>
      </c>
      <c r="CI55" s="49">
        <v>4155.69</v>
      </c>
      <c r="CJ55" s="49">
        <v>0</v>
      </c>
      <c r="CK55" s="50">
        <v>149353</v>
      </c>
      <c r="CL55" s="116">
        <v>49632</v>
      </c>
      <c r="CM55" s="49">
        <v>1077.52</v>
      </c>
      <c r="CN55" s="49">
        <v>1265</v>
      </c>
      <c r="CO55" s="50">
        <v>53642</v>
      </c>
    </row>
    <row r="56" spans="1:93" s="2" customFormat="1" ht="24" customHeight="1">
      <c r="A56" s="104" t="s">
        <v>96</v>
      </c>
      <c r="B56" s="44">
        <f>251501*B67</f>
        <v>165783.53007550177</v>
      </c>
      <c r="C56" s="45"/>
      <c r="D56" s="45"/>
      <c r="E56" s="106"/>
      <c r="F56" s="129">
        <f>248871*F67</f>
        <v>182860.83797327097</v>
      </c>
      <c r="G56" s="45"/>
      <c r="H56" s="45"/>
      <c r="I56" s="106"/>
      <c r="J56" s="129">
        <f>192928*J67</f>
        <v>129277.42838407002</v>
      </c>
      <c r="K56" s="45"/>
      <c r="L56" s="45"/>
      <c r="M56" s="106"/>
      <c r="N56" s="129">
        <f>141114*N67</f>
        <v>92831.50786807133</v>
      </c>
      <c r="O56" s="45"/>
      <c r="P56" s="45"/>
      <c r="Q56" s="106"/>
      <c r="R56" s="129">
        <f>125354*R67</f>
        <v>76388.21266305148</v>
      </c>
      <c r="S56" s="45"/>
      <c r="T56" s="45"/>
      <c r="U56" s="106"/>
      <c r="V56" s="129">
        <f>109826*V67</f>
        <v>68630.80476139676</v>
      </c>
      <c r="W56" s="45"/>
      <c r="X56" s="45"/>
      <c r="Y56" s="106"/>
      <c r="Z56" s="129">
        <f>96863*Z67</f>
        <v>70847.89524209492</v>
      </c>
      <c r="AA56" s="45"/>
      <c r="AB56" s="45"/>
      <c r="AC56" s="106"/>
      <c r="AD56" s="129">
        <f>76072*AD67</f>
        <v>55645.58173963792</v>
      </c>
      <c r="AE56" s="45"/>
      <c r="AF56" s="45"/>
      <c r="AG56" s="106"/>
      <c r="AH56" s="129">
        <f>51152*AH67</f>
        <v>36287.982356427114</v>
      </c>
      <c r="AI56" s="45"/>
      <c r="AJ56" s="45"/>
      <c r="AK56" s="106"/>
      <c r="AL56" s="129">
        <f>27821*AL67</f>
        <v>18964.143171275362</v>
      </c>
      <c r="AM56" s="45"/>
      <c r="AN56" s="45"/>
      <c r="AO56" s="106"/>
      <c r="AP56" s="129">
        <f>18333*AP67</f>
        <v>12665.263898730505</v>
      </c>
      <c r="AQ56" s="45"/>
      <c r="AR56" s="45"/>
      <c r="AS56" s="106"/>
      <c r="AT56" s="129">
        <f>5609*AT67</f>
        <v>3998.658280068176</v>
      </c>
      <c r="AU56" s="45"/>
      <c r="AV56" s="45"/>
      <c r="AW56" s="106"/>
      <c r="AX56" s="129">
        <f>5141*AX67</f>
        <v>3697.489577620059</v>
      </c>
      <c r="AY56" s="45"/>
      <c r="AZ56" s="45"/>
      <c r="BA56" s="106"/>
      <c r="BB56" s="129">
        <f>3667*BB67</f>
        <v>2527.195108735701</v>
      </c>
      <c r="BC56" s="45"/>
      <c r="BD56" s="45"/>
      <c r="BE56" s="106"/>
      <c r="BF56" s="129">
        <f>2814*BF67</f>
        <v>1582.8960819939596</v>
      </c>
      <c r="BG56" s="45"/>
      <c r="BH56" s="45"/>
      <c r="BI56" s="106"/>
      <c r="BJ56" s="129">
        <f>2040*BJ67</f>
        <v>984.142581104718</v>
      </c>
      <c r="BK56" s="45"/>
      <c r="BL56" s="45"/>
      <c r="BM56" s="106"/>
      <c r="BN56" s="129">
        <f>3929*BN67</f>
        <v>2116.334571264785</v>
      </c>
      <c r="BO56" s="45">
        <v>0</v>
      </c>
      <c r="BP56" s="45">
        <v>0</v>
      </c>
      <c r="BQ56" s="46">
        <v>0</v>
      </c>
      <c r="BR56" s="129">
        <f>2546*BR67</f>
        <v>1663.7683537984412</v>
      </c>
      <c r="BS56" s="45">
        <v>0</v>
      </c>
      <c r="BT56" s="45">
        <v>0</v>
      </c>
      <c r="BU56" s="46">
        <v>0</v>
      </c>
      <c r="BV56" s="129">
        <f>3458*BV67</f>
        <v>2027.2928392935162</v>
      </c>
      <c r="BW56" s="45"/>
      <c r="BX56" s="45"/>
      <c r="BY56" s="46"/>
      <c r="BZ56" s="129">
        <f>1168*BZ67</f>
        <v>657.9676612176634</v>
      </c>
      <c r="CA56" s="45"/>
      <c r="CB56" s="45"/>
      <c r="CC56" s="46"/>
      <c r="CD56" s="129">
        <f>489*CD67</f>
        <v>301.16595953952117</v>
      </c>
      <c r="CE56" s="45"/>
      <c r="CF56" s="45"/>
      <c r="CG56" s="46"/>
      <c r="CH56" s="129">
        <f>3605*CH67</f>
        <v>1819.1212053121944</v>
      </c>
      <c r="CI56" s="45"/>
      <c r="CJ56" s="45"/>
      <c r="CK56" s="46"/>
      <c r="CL56" s="129">
        <f>1560*CL62</f>
        <v>595920</v>
      </c>
      <c r="CM56" s="45"/>
      <c r="CN56" s="45"/>
      <c r="CO56" s="46"/>
    </row>
    <row r="57" spans="1:93" s="2" customFormat="1" ht="24" customHeight="1" thickBot="1">
      <c r="A57" s="133" t="s">
        <v>114</v>
      </c>
      <c r="B57" s="134">
        <f>19265*B40</f>
        <v>0.8866192311768873</v>
      </c>
      <c r="C57" s="135"/>
      <c r="D57" s="135"/>
      <c r="E57" s="137"/>
      <c r="F57" s="145">
        <f>42381*F40</f>
        <v>23.3118307046969</v>
      </c>
      <c r="G57" s="62"/>
      <c r="H57" s="62"/>
      <c r="I57" s="147"/>
      <c r="J57" s="145">
        <f>27748*J40</f>
        <v>0</v>
      </c>
      <c r="K57" s="62"/>
      <c r="L57" s="62"/>
      <c r="M57" s="147"/>
      <c r="N57" s="145">
        <f>25702*N40</f>
        <v>0.07351354031203164</v>
      </c>
      <c r="O57" s="62"/>
      <c r="P57" s="62"/>
      <c r="Q57" s="147"/>
      <c r="R57" s="145">
        <f>17822*R40</f>
        <v>1.4115686025674603</v>
      </c>
      <c r="S57" s="62"/>
      <c r="T57" s="62"/>
      <c r="U57" s="147"/>
      <c r="V57" s="145">
        <f>25058*V40</f>
        <v>23.911214034438373</v>
      </c>
      <c r="W57" s="62"/>
      <c r="X57" s="62"/>
      <c r="Y57" s="147"/>
      <c r="Z57" s="145">
        <f>13834*Z40</f>
        <v>3.0237082392264676</v>
      </c>
      <c r="AA57" s="62"/>
      <c r="AB57" s="62"/>
      <c r="AC57" s="147"/>
      <c r="AD57" s="145">
        <f>4404*AD40</f>
        <v>0.08712312989118767</v>
      </c>
      <c r="AE57" s="62"/>
      <c r="AF57" s="62"/>
      <c r="AG57" s="147"/>
      <c r="AH57" s="145">
        <f>80*AH40</f>
        <v>0.013173784169502689</v>
      </c>
      <c r="AI57" s="62"/>
      <c r="AJ57" s="62"/>
      <c r="AK57" s="147"/>
      <c r="AL57" s="145">
        <f>13*AL40</f>
        <v>0.02424012523441382</v>
      </c>
      <c r="AM57" s="62"/>
      <c r="AN57" s="62"/>
      <c r="AO57" s="147"/>
      <c r="AP57" s="145">
        <f>34*AP40</f>
        <v>0.017748411836850442</v>
      </c>
      <c r="AQ57" s="62"/>
      <c r="AR57" s="62"/>
      <c r="AS57" s="147"/>
      <c r="AT57" s="145"/>
      <c r="AU57" s="62"/>
      <c r="AV57" s="62"/>
      <c r="AW57" s="147"/>
      <c r="AX57" s="145"/>
      <c r="AY57" s="62"/>
      <c r="AZ57" s="62"/>
      <c r="BA57" s="147"/>
      <c r="BB57" s="145">
        <f>126*BB40</f>
        <v>0.2619997831521069</v>
      </c>
      <c r="BC57" s="62"/>
      <c r="BD57" s="62"/>
      <c r="BE57" s="147"/>
      <c r="BF57" s="145">
        <f>124*BF40</f>
        <v>0.08626803174868482</v>
      </c>
      <c r="BG57" s="62"/>
      <c r="BH57" s="62"/>
      <c r="BI57" s="147"/>
      <c r="BJ57" s="145">
        <f>59*BJ40</f>
        <v>0.1807546902927977</v>
      </c>
      <c r="BK57" s="62"/>
      <c r="BL57" s="62"/>
      <c r="BM57" s="147"/>
      <c r="BN57" s="145">
        <f>59*BN40</f>
        <v>0.13720284482734754</v>
      </c>
      <c r="BO57" s="62"/>
      <c r="BP57" s="62"/>
      <c r="BQ57" s="63"/>
      <c r="BR57" s="145">
        <f>1019*BR40</f>
        <v>2.311797432538399</v>
      </c>
      <c r="BS57" s="62"/>
      <c r="BT57" s="62"/>
      <c r="BU57" s="63"/>
      <c r="BV57" s="145">
        <f>1019*BV40</f>
        <v>3.503757999401309</v>
      </c>
      <c r="BW57" s="62"/>
      <c r="BX57" s="62"/>
      <c r="BY57" s="63"/>
      <c r="BZ57" s="145">
        <f>1019*BZ40</f>
        <v>12.748548966213916</v>
      </c>
      <c r="CA57" s="62"/>
      <c r="CB57" s="62"/>
      <c r="CC57" s="63"/>
      <c r="CD57" s="145">
        <f>0*CD40</f>
        <v>0</v>
      </c>
      <c r="CE57" s="62"/>
      <c r="CF57" s="62"/>
      <c r="CG57" s="63"/>
      <c r="CH57" s="145">
        <f>132*CH40</f>
        <v>0.588470070722967</v>
      </c>
      <c r="CI57" s="62"/>
      <c r="CJ57" s="62"/>
      <c r="CK57" s="63"/>
      <c r="CL57" s="174">
        <f>0*CL67</f>
        <v>0</v>
      </c>
      <c r="CM57" s="62"/>
      <c r="CN57" s="62"/>
      <c r="CO57" s="63"/>
    </row>
    <row r="58" spans="1:93" ht="15" customHeight="1" thickBot="1" thickTop="1">
      <c r="A58" s="10" t="s">
        <v>71</v>
      </c>
      <c r="B58" s="69"/>
      <c r="C58" s="70"/>
      <c r="D58" s="139"/>
      <c r="E58" s="140"/>
      <c r="F58" s="141"/>
      <c r="G58" s="142"/>
      <c r="H58" s="149"/>
      <c r="I58" s="150"/>
      <c r="J58" s="141"/>
      <c r="K58" s="142"/>
      <c r="L58" s="149"/>
      <c r="M58" s="150"/>
      <c r="N58" s="141"/>
      <c r="O58" s="142"/>
      <c r="P58" s="149"/>
      <c r="Q58" s="150"/>
      <c r="R58" s="141"/>
      <c r="S58" s="142"/>
      <c r="T58" s="149"/>
      <c r="U58" s="150"/>
      <c r="V58" s="141"/>
      <c r="W58" s="142"/>
      <c r="X58" s="149"/>
      <c r="Y58" s="150"/>
      <c r="Z58" s="141"/>
      <c r="AA58" s="142"/>
      <c r="AB58" s="149"/>
      <c r="AC58" s="150"/>
      <c r="AD58" s="141"/>
      <c r="AE58" s="142"/>
      <c r="AF58" s="149"/>
      <c r="AG58" s="150"/>
      <c r="AH58" s="141"/>
      <c r="AI58" s="142"/>
      <c r="AJ58" s="149"/>
      <c r="AK58" s="150"/>
      <c r="AL58" s="141"/>
      <c r="AM58" s="142"/>
      <c r="AN58" s="149"/>
      <c r="AO58" s="150"/>
      <c r="AP58" s="141"/>
      <c r="AQ58" s="142"/>
      <c r="AR58" s="149"/>
      <c r="AS58" s="150"/>
      <c r="AT58" s="141"/>
      <c r="AU58" s="142"/>
      <c r="AV58" s="149"/>
      <c r="AW58" s="150"/>
      <c r="AX58" s="141"/>
      <c r="AY58" s="142"/>
      <c r="AZ58" s="149"/>
      <c r="BA58" s="150"/>
      <c r="BB58" s="141"/>
      <c r="BC58" s="142"/>
      <c r="BD58" s="149"/>
      <c r="BE58" s="150"/>
      <c r="BF58" s="141"/>
      <c r="BG58" s="142"/>
      <c r="BH58" s="149"/>
      <c r="BI58" s="150"/>
      <c r="BJ58" s="141"/>
      <c r="BK58" s="142"/>
      <c r="BL58" s="149"/>
      <c r="BM58" s="151"/>
      <c r="BN58" s="141"/>
      <c r="BO58" s="142"/>
      <c r="BP58" s="149"/>
      <c r="BQ58" s="151"/>
      <c r="BR58" s="141"/>
      <c r="BS58" s="142"/>
      <c r="BT58" s="149"/>
      <c r="BU58" s="151"/>
      <c r="BV58" s="181"/>
      <c r="BW58" s="149"/>
      <c r="BX58" s="149"/>
      <c r="BY58" s="151"/>
      <c r="BZ58" s="141"/>
      <c r="CA58" s="142"/>
      <c r="CB58" s="149"/>
      <c r="CC58" s="151"/>
      <c r="CD58" s="181"/>
      <c r="CE58" s="149"/>
      <c r="CF58" s="149"/>
      <c r="CG58" s="151"/>
      <c r="CH58" s="181"/>
      <c r="CI58" s="149"/>
      <c r="CJ58" s="149"/>
      <c r="CK58" s="151"/>
      <c r="CL58" s="181"/>
      <c r="CM58" s="149"/>
      <c r="CN58" s="149"/>
      <c r="CO58" s="151"/>
    </row>
    <row r="59" spans="1:93" s="2" customFormat="1" ht="11.25">
      <c r="A59" s="20" t="s">
        <v>136</v>
      </c>
      <c r="B59" s="57">
        <v>816315</v>
      </c>
      <c r="C59" s="58">
        <v>349313</v>
      </c>
      <c r="D59" s="45">
        <v>0</v>
      </c>
      <c r="E59" s="45">
        <v>11262</v>
      </c>
      <c r="F59" s="57">
        <v>678934</v>
      </c>
      <c r="G59" s="58">
        <v>451938</v>
      </c>
      <c r="H59" s="45">
        <v>21913</v>
      </c>
      <c r="I59" s="45">
        <v>185416</v>
      </c>
      <c r="J59" s="57">
        <v>914299</v>
      </c>
      <c r="K59" s="58">
        <v>418635</v>
      </c>
      <c r="L59" s="45">
        <v>77269</v>
      </c>
      <c r="M59" s="45">
        <v>57448</v>
      </c>
      <c r="N59" s="57">
        <v>1155358</v>
      </c>
      <c r="O59" s="58">
        <v>346537</v>
      </c>
      <c r="P59" s="45">
        <v>63025</v>
      </c>
      <c r="Q59" s="45">
        <v>42942</v>
      </c>
      <c r="R59" s="57">
        <v>1318024</v>
      </c>
      <c r="S59" s="58">
        <v>386771</v>
      </c>
      <c r="T59" s="45">
        <v>34893</v>
      </c>
      <c r="U59" s="45">
        <v>85692</v>
      </c>
      <c r="V59" s="57">
        <v>1414319</v>
      </c>
      <c r="W59" s="58">
        <v>607785</v>
      </c>
      <c r="X59" s="45">
        <v>28433</v>
      </c>
      <c r="Y59" s="45">
        <v>76456</v>
      </c>
      <c r="Z59" s="57">
        <v>743356</v>
      </c>
      <c r="AA59" s="58">
        <v>249595</v>
      </c>
      <c r="AB59" s="45">
        <v>103128</v>
      </c>
      <c r="AC59" s="45">
        <v>15311</v>
      </c>
      <c r="AD59" s="57">
        <v>877080</v>
      </c>
      <c r="AE59" s="58">
        <v>257199</v>
      </c>
      <c r="AF59" s="45">
        <v>72144</v>
      </c>
      <c r="AG59" s="45">
        <v>26056</v>
      </c>
      <c r="AH59" s="57">
        <v>970646</v>
      </c>
      <c r="AI59" s="58">
        <v>281646</v>
      </c>
      <c r="AJ59" s="45">
        <v>56475</v>
      </c>
      <c r="AK59" s="45">
        <v>17001</v>
      </c>
      <c r="AL59" s="57">
        <v>953673</v>
      </c>
      <c r="AM59" s="58">
        <v>271857</v>
      </c>
      <c r="AN59" s="45">
        <v>32213</v>
      </c>
      <c r="AO59" s="45">
        <v>10202</v>
      </c>
      <c r="AP59" s="57">
        <v>763207</v>
      </c>
      <c r="AQ59" s="58">
        <v>276306</v>
      </c>
      <c r="AR59" s="45">
        <v>70053</v>
      </c>
      <c r="AS59" s="45">
        <v>1424</v>
      </c>
      <c r="AT59" s="57">
        <v>771947</v>
      </c>
      <c r="AU59" s="58">
        <v>299911</v>
      </c>
      <c r="AV59" s="45">
        <v>42149</v>
      </c>
      <c r="AW59" s="45">
        <v>31608</v>
      </c>
      <c r="AX59" s="57">
        <v>717989</v>
      </c>
      <c r="AY59" s="58">
        <v>275490</v>
      </c>
      <c r="AZ59" s="45">
        <v>98878</v>
      </c>
      <c r="BA59" s="45">
        <v>26284</v>
      </c>
      <c r="BB59" s="57">
        <v>892536</v>
      </c>
      <c r="BC59" s="58">
        <v>335730</v>
      </c>
      <c r="BD59" s="45">
        <v>83025</v>
      </c>
      <c r="BE59" s="45">
        <v>65328</v>
      </c>
      <c r="BF59" s="57">
        <v>1389596</v>
      </c>
      <c r="BG59" s="58">
        <v>406783</v>
      </c>
      <c r="BH59" s="45">
        <v>79373</v>
      </c>
      <c r="BI59" s="45">
        <v>175998</v>
      </c>
      <c r="BJ59" s="57">
        <v>1682244</v>
      </c>
      <c r="BK59" s="58">
        <v>402618</v>
      </c>
      <c r="BL59" s="45">
        <v>137318</v>
      </c>
      <c r="BM59" s="45">
        <v>109868</v>
      </c>
      <c r="BN59" s="57">
        <v>1364110</v>
      </c>
      <c r="BO59" s="58">
        <v>326445</v>
      </c>
      <c r="BP59" s="45">
        <v>90363</v>
      </c>
      <c r="BQ59" s="45">
        <v>86627</v>
      </c>
      <c r="BR59" s="57">
        <v>762110</v>
      </c>
      <c r="BS59" s="58">
        <v>287443</v>
      </c>
      <c r="BT59" s="45">
        <v>103815</v>
      </c>
      <c r="BU59" s="106">
        <v>104569</v>
      </c>
      <c r="BV59" s="113">
        <v>1111440</v>
      </c>
      <c r="BW59" s="114">
        <v>379773</v>
      </c>
      <c r="BX59" s="177">
        <v>160883</v>
      </c>
      <c r="BY59" s="178">
        <v>113528</v>
      </c>
      <c r="BZ59" s="57">
        <v>1120323</v>
      </c>
      <c r="CA59" s="58">
        <v>311975.46</v>
      </c>
      <c r="CB59" s="159">
        <v>105356</v>
      </c>
      <c r="CC59" s="106">
        <v>165912</v>
      </c>
      <c r="CD59" s="113">
        <v>849390</v>
      </c>
      <c r="CE59" s="114">
        <v>402348.76</v>
      </c>
      <c r="CF59" s="177">
        <v>115250</v>
      </c>
      <c r="CG59" s="179">
        <v>175931</v>
      </c>
      <c r="CH59" s="113">
        <v>1074968</v>
      </c>
      <c r="CI59" s="114">
        <v>613791.58</v>
      </c>
      <c r="CJ59" s="177">
        <v>107097</v>
      </c>
      <c r="CK59" s="179">
        <v>240744</v>
      </c>
      <c r="CL59" s="113">
        <v>1158518</v>
      </c>
      <c r="CM59" s="114">
        <v>301173.21</v>
      </c>
      <c r="CN59" s="177">
        <v>76672</v>
      </c>
      <c r="CO59" s="179">
        <v>299294</v>
      </c>
    </row>
    <row r="60" spans="1:93" s="2" customFormat="1" ht="12.75" customHeight="1">
      <c r="A60" s="13" t="s">
        <v>26</v>
      </c>
      <c r="B60" s="44">
        <v>14758</v>
      </c>
      <c r="C60" s="45">
        <f>5354.12*2.2046</f>
        <v>11803.692952000001</v>
      </c>
      <c r="D60" s="45">
        <v>0</v>
      </c>
      <c r="E60" s="46">
        <v>0</v>
      </c>
      <c r="F60" s="44">
        <v>19825</v>
      </c>
      <c r="G60" s="45">
        <f>7787.85*2.2046</f>
        <v>17169.094110000002</v>
      </c>
      <c r="H60" s="45">
        <v>847</v>
      </c>
      <c r="I60" s="46">
        <v>123</v>
      </c>
      <c r="J60" s="44">
        <v>17464</v>
      </c>
      <c r="K60" s="45">
        <f>3377.08*2.2046</f>
        <v>7445.110568</v>
      </c>
      <c r="L60" s="45">
        <v>441</v>
      </c>
      <c r="M60" s="46">
        <v>761</v>
      </c>
      <c r="N60" s="44">
        <v>15814</v>
      </c>
      <c r="O60" s="45">
        <f>1241.36*2.2046</f>
        <v>2736.702256</v>
      </c>
      <c r="P60" s="45">
        <v>0</v>
      </c>
      <c r="Q60" s="46">
        <v>1684</v>
      </c>
      <c r="R60" s="44">
        <v>37749</v>
      </c>
      <c r="S60" s="45">
        <f>881.73*2.2046</f>
        <v>1943.8619580000002</v>
      </c>
      <c r="T60" s="45">
        <v>0</v>
      </c>
      <c r="U60" s="46">
        <v>0</v>
      </c>
      <c r="V60" s="44">
        <v>34273</v>
      </c>
      <c r="W60" s="45">
        <f>1171.79*2.2046</f>
        <v>2583.328234</v>
      </c>
      <c r="X60" s="45">
        <v>0</v>
      </c>
      <c r="Y60" s="46">
        <v>0</v>
      </c>
      <c r="Z60" s="44">
        <v>35749</v>
      </c>
      <c r="AA60" s="45">
        <f>1222.17*2.2046</f>
        <v>2694.3959820000005</v>
      </c>
      <c r="AB60" s="45">
        <v>0</v>
      </c>
      <c r="AC60" s="46">
        <v>0</v>
      </c>
      <c r="AD60" s="44">
        <v>35388</v>
      </c>
      <c r="AE60" s="45">
        <f>1860.74*2.2046</f>
        <v>4102.187404</v>
      </c>
      <c r="AF60" s="45">
        <v>0</v>
      </c>
      <c r="AG60" s="46">
        <v>1032</v>
      </c>
      <c r="AH60" s="44">
        <v>34942</v>
      </c>
      <c r="AI60" s="45">
        <f>1732.20462*2.2046</f>
        <v>3818.8183052520003</v>
      </c>
      <c r="AJ60" s="45">
        <v>47630</v>
      </c>
      <c r="AK60" s="46">
        <v>0</v>
      </c>
      <c r="AL60" s="44">
        <v>16104</v>
      </c>
      <c r="AM60" s="45">
        <f>2184.07*2.2046</f>
        <v>4815.000722000001</v>
      </c>
      <c r="AN60" s="45">
        <v>2231</v>
      </c>
      <c r="AO60" s="46">
        <v>904</v>
      </c>
      <c r="AP60" s="44">
        <v>13132</v>
      </c>
      <c r="AQ60" s="45">
        <f>1197.05*2.2046</f>
        <v>2639.01643</v>
      </c>
      <c r="AR60" s="45">
        <v>2546</v>
      </c>
      <c r="AS60" s="46">
        <v>3325</v>
      </c>
      <c r="AT60" s="44">
        <v>38092</v>
      </c>
      <c r="AU60" s="45">
        <f>971.35*2.2046</f>
        <v>2141.4382100000003</v>
      </c>
      <c r="AV60" s="45">
        <v>8532</v>
      </c>
      <c r="AW60" s="46">
        <v>0</v>
      </c>
      <c r="AX60" s="44">
        <v>12663</v>
      </c>
      <c r="AY60" s="45">
        <f>1208.19*2.2046</f>
        <v>2663.575674</v>
      </c>
      <c r="AZ60" s="45">
        <v>0</v>
      </c>
      <c r="BA60" s="46">
        <v>0</v>
      </c>
      <c r="BB60" s="44">
        <v>15025</v>
      </c>
      <c r="BC60" s="45">
        <f>642.77*2.2046</f>
        <v>1417.0507420000001</v>
      </c>
      <c r="BD60" s="45">
        <v>0</v>
      </c>
      <c r="BE60" s="46">
        <v>0</v>
      </c>
      <c r="BF60" s="44">
        <v>33711</v>
      </c>
      <c r="BG60" s="45">
        <f>688.39*2.2046</f>
        <v>1517.6245940000001</v>
      </c>
      <c r="BH60" s="45">
        <v>271</v>
      </c>
      <c r="BI60" s="46">
        <v>1625</v>
      </c>
      <c r="BJ60" s="44">
        <v>39491</v>
      </c>
      <c r="BK60" s="45">
        <f>500.04*2.2046</f>
        <v>1102.3881840000001</v>
      </c>
      <c r="BL60" s="45">
        <v>0</v>
      </c>
      <c r="BM60" s="47">
        <v>0</v>
      </c>
      <c r="BN60" s="44">
        <v>30750</v>
      </c>
      <c r="BO60" s="45">
        <v>2639</v>
      </c>
      <c r="BP60" s="45">
        <v>1065</v>
      </c>
      <c r="BQ60" s="47">
        <v>0</v>
      </c>
      <c r="BR60" s="44">
        <v>32604</v>
      </c>
      <c r="BS60" s="45">
        <v>3637</v>
      </c>
      <c r="BT60" s="45">
        <v>381</v>
      </c>
      <c r="BU60" s="106">
        <v>0</v>
      </c>
      <c r="BV60" s="129">
        <v>31957</v>
      </c>
      <c r="BW60" s="45">
        <v>1940</v>
      </c>
      <c r="BX60" s="159">
        <v>1100</v>
      </c>
      <c r="BY60" s="46">
        <v>0</v>
      </c>
      <c r="BZ60" s="44">
        <v>34980</v>
      </c>
      <c r="CA60" s="45">
        <v>2217.39</v>
      </c>
      <c r="CB60" s="45">
        <v>0</v>
      </c>
      <c r="CC60" s="182">
        <v>866</v>
      </c>
      <c r="CD60" s="129">
        <v>23534</v>
      </c>
      <c r="CE60" s="45">
        <v>1497.35</v>
      </c>
      <c r="CF60" s="45">
        <v>0</v>
      </c>
      <c r="CG60" s="173">
        <v>185</v>
      </c>
      <c r="CH60" s="129">
        <v>18262</v>
      </c>
      <c r="CI60" s="45">
        <v>3765.05</v>
      </c>
      <c r="CJ60" s="45">
        <v>1027</v>
      </c>
      <c r="CK60" s="173">
        <v>0</v>
      </c>
      <c r="CL60" s="129">
        <v>20051</v>
      </c>
      <c r="CM60" s="45">
        <v>1043.99</v>
      </c>
      <c r="CN60" s="45">
        <v>567</v>
      </c>
      <c r="CO60" s="173">
        <v>0</v>
      </c>
    </row>
    <row r="61" spans="1:93" s="2" customFormat="1" ht="11.25">
      <c r="A61" s="13" t="s">
        <v>27</v>
      </c>
      <c r="B61" s="44">
        <f>101696*2.2046</f>
        <v>224199.00160000002</v>
      </c>
      <c r="C61" s="45">
        <f>24636*2.2046</f>
        <v>54312.5256</v>
      </c>
      <c r="D61" s="45">
        <v>46580</v>
      </c>
      <c r="E61" s="46">
        <v>66931</v>
      </c>
      <c r="F61" s="44">
        <v>196321</v>
      </c>
      <c r="G61" s="45">
        <f>37076*2.2046</f>
        <v>81737.74960000001</v>
      </c>
      <c r="H61" s="45">
        <v>36212</v>
      </c>
      <c r="I61" s="46">
        <v>97466</v>
      </c>
      <c r="J61" s="44">
        <v>176982</v>
      </c>
      <c r="K61" s="45">
        <v>130068</v>
      </c>
      <c r="L61" s="45">
        <v>88739</v>
      </c>
      <c r="M61" s="46">
        <v>136256</v>
      </c>
      <c r="N61" s="44">
        <v>268348</v>
      </c>
      <c r="O61" s="45">
        <v>70795</v>
      </c>
      <c r="P61" s="45">
        <f>28186*2.2046</f>
        <v>62138.8556</v>
      </c>
      <c r="Q61" s="46">
        <f>93738*2.2046</f>
        <v>206654.7948</v>
      </c>
      <c r="R61" s="44">
        <v>222824</v>
      </c>
      <c r="S61" s="45">
        <v>65684</v>
      </c>
      <c r="T61" s="45">
        <f>1419*2.2046</f>
        <v>3128.3274</v>
      </c>
      <c r="U61" s="46">
        <v>112170</v>
      </c>
      <c r="V61" s="44">
        <v>147498</v>
      </c>
      <c r="W61" s="45">
        <v>72029</v>
      </c>
      <c r="X61" s="45">
        <v>41769</v>
      </c>
      <c r="Y61" s="46">
        <v>89743</v>
      </c>
      <c r="Z61" s="44">
        <v>102038</v>
      </c>
      <c r="AA61" s="45">
        <v>28915</v>
      </c>
      <c r="AB61" s="45">
        <v>297479</v>
      </c>
      <c r="AC61" s="46">
        <v>320234</v>
      </c>
      <c r="AD61" s="44">
        <v>226754</v>
      </c>
      <c r="AE61" s="45">
        <v>42717</v>
      </c>
      <c r="AF61" s="45">
        <v>48565</v>
      </c>
      <c r="AG61" s="46">
        <v>93021</v>
      </c>
      <c r="AH61" s="44">
        <v>202068</v>
      </c>
      <c r="AI61" s="45">
        <v>43016</v>
      </c>
      <c r="AJ61" s="45">
        <v>118505</v>
      </c>
      <c r="AK61" s="46">
        <v>82006</v>
      </c>
      <c r="AL61" s="44">
        <v>184640</v>
      </c>
      <c r="AM61" s="45">
        <v>57473</v>
      </c>
      <c r="AN61" s="45">
        <v>52814</v>
      </c>
      <c r="AO61" s="46">
        <v>13195</v>
      </c>
      <c r="AP61" s="44">
        <v>144066</v>
      </c>
      <c r="AQ61" s="45">
        <f>20972*2.2046</f>
        <v>46234.8712</v>
      </c>
      <c r="AR61" s="45">
        <v>17169</v>
      </c>
      <c r="AS61" s="46">
        <v>89042</v>
      </c>
      <c r="AT61" s="44">
        <v>113343</v>
      </c>
      <c r="AU61" s="45">
        <f>23226*2.2046</f>
        <v>51204.039600000004</v>
      </c>
      <c r="AV61" s="45">
        <v>66540</v>
      </c>
      <c r="AW61" s="46">
        <v>224740</v>
      </c>
      <c r="AX61" s="44">
        <v>90424</v>
      </c>
      <c r="AY61" s="45">
        <f>12178*2.2046</f>
        <v>26847.6188</v>
      </c>
      <c r="AZ61" s="45">
        <v>60856</v>
      </c>
      <c r="BA61" s="46">
        <f>24544*2.2046</f>
        <v>54109.7024</v>
      </c>
      <c r="BB61" s="44">
        <v>95222</v>
      </c>
      <c r="BC61" s="45">
        <f>19758*2.2046</f>
        <v>43558.4868</v>
      </c>
      <c r="BD61" s="45">
        <v>93664</v>
      </c>
      <c r="BE61" s="46">
        <v>75767</v>
      </c>
      <c r="BF61" s="44">
        <v>105688</v>
      </c>
      <c r="BG61" s="45">
        <v>49402</v>
      </c>
      <c r="BH61" s="45">
        <v>65916</v>
      </c>
      <c r="BI61" s="46">
        <v>434005</v>
      </c>
      <c r="BJ61" s="44">
        <v>198223</v>
      </c>
      <c r="BK61" s="45">
        <v>68383</v>
      </c>
      <c r="BL61" s="45">
        <v>76048</v>
      </c>
      <c r="BM61" s="47">
        <v>277581</v>
      </c>
      <c r="BN61" s="44">
        <v>190572</v>
      </c>
      <c r="BO61" s="45">
        <v>70797</v>
      </c>
      <c r="BP61" s="45">
        <v>116041</v>
      </c>
      <c r="BQ61" s="47">
        <v>274867</v>
      </c>
      <c r="BR61" s="44">
        <v>162703</v>
      </c>
      <c r="BS61" s="45">
        <v>41353</v>
      </c>
      <c r="BT61" s="45">
        <v>112120</v>
      </c>
      <c r="BU61" s="106">
        <v>147191</v>
      </c>
      <c r="BV61" s="129">
        <v>171405</v>
      </c>
      <c r="BW61" s="45">
        <v>80341.73</v>
      </c>
      <c r="BX61" s="159">
        <v>120779</v>
      </c>
      <c r="BY61" s="172">
        <v>173136</v>
      </c>
      <c r="BZ61" s="44">
        <v>132006</v>
      </c>
      <c r="CA61" s="45">
        <v>58694.57</v>
      </c>
      <c r="CB61" s="159">
        <v>116716</v>
      </c>
      <c r="CC61" s="106">
        <v>145572</v>
      </c>
      <c r="CD61" s="129">
        <v>89910</v>
      </c>
      <c r="CE61" s="45">
        <v>41431.27</v>
      </c>
      <c r="CF61" s="156">
        <v>100444</v>
      </c>
      <c r="CG61" s="46">
        <v>139752</v>
      </c>
      <c r="CH61" s="129">
        <v>116934</v>
      </c>
      <c r="CI61" s="45">
        <v>38447.97</v>
      </c>
      <c r="CJ61" s="159">
        <v>57150</v>
      </c>
      <c r="CK61" s="46">
        <v>245006</v>
      </c>
      <c r="CL61" s="129">
        <v>233267</v>
      </c>
      <c r="CM61" s="45">
        <v>115307.53</v>
      </c>
      <c r="CN61" s="156">
        <v>151987</v>
      </c>
      <c r="CO61" s="46">
        <v>544768</v>
      </c>
    </row>
    <row r="62" spans="1:93" s="2" customFormat="1" ht="11.25">
      <c r="A62" s="13" t="s">
        <v>28</v>
      </c>
      <c r="B62" s="44"/>
      <c r="C62" s="45"/>
      <c r="D62" s="45">
        <v>0</v>
      </c>
      <c r="E62" s="46">
        <v>0</v>
      </c>
      <c r="F62" s="44"/>
      <c r="G62" s="45"/>
      <c r="H62" s="45">
        <v>0</v>
      </c>
      <c r="I62" s="46">
        <v>0</v>
      </c>
      <c r="J62" s="44"/>
      <c r="K62" s="45"/>
      <c r="L62" s="45">
        <v>0</v>
      </c>
      <c r="M62" s="46">
        <v>0</v>
      </c>
      <c r="N62" s="44"/>
      <c r="O62" s="45"/>
      <c r="P62" s="45">
        <v>0</v>
      </c>
      <c r="Q62" s="46">
        <v>0</v>
      </c>
      <c r="R62" s="44"/>
      <c r="S62" s="45"/>
      <c r="T62" s="45">
        <v>0</v>
      </c>
      <c r="U62" s="46">
        <v>0</v>
      </c>
      <c r="V62" s="44">
        <v>141</v>
      </c>
      <c r="W62" s="45"/>
      <c r="X62" s="45">
        <v>0</v>
      </c>
      <c r="Y62" s="46">
        <v>0</v>
      </c>
      <c r="Z62" s="44">
        <v>113</v>
      </c>
      <c r="AA62" s="45">
        <f>3.41*2.2046</f>
        <v>7.517686</v>
      </c>
      <c r="AB62" s="45">
        <v>0</v>
      </c>
      <c r="AC62" s="46">
        <v>0</v>
      </c>
      <c r="AD62" s="44">
        <v>4917</v>
      </c>
      <c r="AE62" s="45"/>
      <c r="AF62" s="45">
        <v>0</v>
      </c>
      <c r="AG62" s="46">
        <v>0</v>
      </c>
      <c r="AH62" s="44">
        <v>484</v>
      </c>
      <c r="AI62" s="45">
        <f>1.82*2.2046</f>
        <v>4.012372</v>
      </c>
      <c r="AJ62" s="45">
        <v>0</v>
      </c>
      <c r="AK62" s="46">
        <v>0</v>
      </c>
      <c r="AL62" s="44">
        <v>26</v>
      </c>
      <c r="AM62" s="45"/>
      <c r="AN62" s="45">
        <v>0</v>
      </c>
      <c r="AO62" s="46">
        <v>0</v>
      </c>
      <c r="AP62" s="44">
        <v>25</v>
      </c>
      <c r="AQ62" s="45">
        <f>1.8*2.2046</f>
        <v>3.9682800000000005</v>
      </c>
      <c r="AR62" s="45">
        <v>0</v>
      </c>
      <c r="AS62" s="46">
        <v>0</v>
      </c>
      <c r="AT62" s="44">
        <v>7</v>
      </c>
      <c r="AU62" s="45"/>
      <c r="AV62" s="45">
        <v>0</v>
      </c>
      <c r="AW62" s="46">
        <v>0</v>
      </c>
      <c r="AX62" s="44">
        <v>8</v>
      </c>
      <c r="AY62" s="45"/>
      <c r="AZ62" s="45">
        <v>0</v>
      </c>
      <c r="BA62" s="46">
        <v>0</v>
      </c>
      <c r="BB62" s="44">
        <v>3</v>
      </c>
      <c r="BC62" s="45"/>
      <c r="BD62" s="45">
        <v>0</v>
      </c>
      <c r="BE62" s="46">
        <v>0</v>
      </c>
      <c r="BF62" s="44">
        <v>11</v>
      </c>
      <c r="BG62" s="45"/>
      <c r="BH62" s="45">
        <v>0</v>
      </c>
      <c r="BI62" s="46">
        <v>0</v>
      </c>
      <c r="BJ62" s="44">
        <v>462</v>
      </c>
      <c r="BK62" s="45"/>
      <c r="BL62" s="45">
        <v>0</v>
      </c>
      <c r="BM62" s="47">
        <v>0</v>
      </c>
      <c r="BN62" s="44">
        <v>377</v>
      </c>
      <c r="BO62" s="45">
        <v>0</v>
      </c>
      <c r="BP62" s="45">
        <v>0</v>
      </c>
      <c r="BQ62" s="47">
        <v>0</v>
      </c>
      <c r="BR62" s="44">
        <v>286</v>
      </c>
      <c r="BS62" s="45">
        <v>0</v>
      </c>
      <c r="BT62" s="45">
        <v>0</v>
      </c>
      <c r="BU62" s="106">
        <v>0</v>
      </c>
      <c r="BV62" s="129">
        <v>286</v>
      </c>
      <c r="BW62" s="45">
        <v>0</v>
      </c>
      <c r="BX62" s="45">
        <v>0</v>
      </c>
      <c r="BY62" s="46">
        <v>0</v>
      </c>
      <c r="BZ62" s="44">
        <v>0</v>
      </c>
      <c r="CA62" s="45">
        <v>0</v>
      </c>
      <c r="CB62" s="45">
        <v>0</v>
      </c>
      <c r="CC62" s="106">
        <v>0</v>
      </c>
      <c r="CD62" s="129">
        <v>228</v>
      </c>
      <c r="CE62" s="45">
        <v>0</v>
      </c>
      <c r="CF62" s="45">
        <v>0</v>
      </c>
      <c r="CG62" s="46">
        <v>0</v>
      </c>
      <c r="CH62" s="129">
        <v>16</v>
      </c>
      <c r="CI62" s="45">
        <v>0</v>
      </c>
      <c r="CJ62" s="45">
        <v>0</v>
      </c>
      <c r="CK62" s="46">
        <v>0</v>
      </c>
      <c r="CL62" s="129">
        <v>382</v>
      </c>
      <c r="CM62" s="45">
        <v>0</v>
      </c>
      <c r="CN62" s="45">
        <v>0</v>
      </c>
      <c r="CO62" s="46">
        <v>0</v>
      </c>
    </row>
    <row r="63" spans="1:93" s="2" customFormat="1" ht="11.25">
      <c r="A63" s="13" t="s">
        <v>29</v>
      </c>
      <c r="B63" s="44">
        <v>337</v>
      </c>
      <c r="C63" s="45">
        <f>1453.11*2.2046</f>
        <v>3203.5263059999997</v>
      </c>
      <c r="D63" s="45">
        <v>0</v>
      </c>
      <c r="E63" s="46">
        <v>0</v>
      </c>
      <c r="F63" s="44">
        <v>512</v>
      </c>
      <c r="G63" s="45">
        <f>1235.64*2.2046</f>
        <v>2724.0919440000002</v>
      </c>
      <c r="H63" s="45">
        <v>0</v>
      </c>
      <c r="I63" s="46">
        <v>0</v>
      </c>
      <c r="J63" s="44">
        <v>116</v>
      </c>
      <c r="K63" s="45">
        <f>590.74*2.2046</f>
        <v>1302.3454040000001</v>
      </c>
      <c r="L63" s="45">
        <v>0</v>
      </c>
      <c r="M63" s="46">
        <v>0</v>
      </c>
      <c r="N63" s="44">
        <v>351</v>
      </c>
      <c r="O63" s="45">
        <f>416.39*2.2046</f>
        <v>917.973394</v>
      </c>
      <c r="P63" s="45">
        <v>0</v>
      </c>
      <c r="Q63" s="46">
        <v>0</v>
      </c>
      <c r="R63" s="44">
        <v>10</v>
      </c>
      <c r="S63" s="45">
        <f>398.21*2.2046</f>
        <v>877.893766</v>
      </c>
      <c r="T63" s="45">
        <v>0</v>
      </c>
      <c r="U63" s="46">
        <v>0</v>
      </c>
      <c r="V63" s="44">
        <v>71</v>
      </c>
      <c r="W63" s="45">
        <f>2130.13*2.2046</f>
        <v>4696.084598</v>
      </c>
      <c r="X63" s="45">
        <v>0</v>
      </c>
      <c r="Y63" s="46">
        <v>0</v>
      </c>
      <c r="Z63" s="44"/>
      <c r="AA63" s="45">
        <f>227.45*2.2046</f>
        <v>501.43627</v>
      </c>
      <c r="AB63" s="45">
        <v>0</v>
      </c>
      <c r="AC63" s="46">
        <v>0</v>
      </c>
      <c r="AD63" s="44">
        <v>115</v>
      </c>
      <c r="AE63" s="45">
        <f>209.25*2.2046</f>
        <v>461.31255000000004</v>
      </c>
      <c r="AF63" s="45">
        <v>0</v>
      </c>
      <c r="AG63" s="46">
        <v>0</v>
      </c>
      <c r="AH63" s="44">
        <v>81</v>
      </c>
      <c r="AI63" s="45">
        <f>246.89*2.2046</f>
        <v>544.293694</v>
      </c>
      <c r="AJ63" s="45">
        <v>0</v>
      </c>
      <c r="AK63" s="46">
        <v>0</v>
      </c>
      <c r="AL63" s="44">
        <v>144</v>
      </c>
      <c r="AM63" s="45">
        <f>434.41*2.2046</f>
        <v>957.7002860000001</v>
      </c>
      <c r="AN63" s="45">
        <v>0</v>
      </c>
      <c r="AO63" s="46">
        <v>0</v>
      </c>
      <c r="AP63" s="44">
        <v>146</v>
      </c>
      <c r="AQ63" s="45">
        <f>1071.39*2.2046</f>
        <v>2361.9863940000005</v>
      </c>
      <c r="AR63" s="45">
        <v>0</v>
      </c>
      <c r="AS63" s="46">
        <v>0</v>
      </c>
      <c r="AT63" s="44">
        <v>1716</v>
      </c>
      <c r="AU63" s="45">
        <f>323.05*2.2046</f>
        <v>712.1960300000001</v>
      </c>
      <c r="AV63" s="45">
        <v>0</v>
      </c>
      <c r="AW63" s="46">
        <v>0</v>
      </c>
      <c r="AX63" s="44">
        <v>62</v>
      </c>
      <c r="AY63" s="45">
        <f>144*2.2046</f>
        <v>317.4624</v>
      </c>
      <c r="AZ63" s="45">
        <v>0</v>
      </c>
      <c r="BA63" s="46">
        <v>0</v>
      </c>
      <c r="BB63" s="44">
        <v>1112</v>
      </c>
      <c r="BC63" s="45">
        <f>30.45*2.2046</f>
        <v>67.13007</v>
      </c>
      <c r="BD63" s="45">
        <v>525</v>
      </c>
      <c r="BE63" s="46">
        <v>0</v>
      </c>
      <c r="BF63" s="44">
        <v>239</v>
      </c>
      <c r="BG63" s="45">
        <f>16.75*2.2046</f>
        <v>36.92705</v>
      </c>
      <c r="BH63" s="45">
        <v>0</v>
      </c>
      <c r="BI63" s="46">
        <v>2875</v>
      </c>
      <c r="BJ63" s="44">
        <v>1476</v>
      </c>
      <c r="BK63" s="45">
        <f>469.07*2.2046</f>
        <v>1034.111722</v>
      </c>
      <c r="BL63" s="45">
        <v>0</v>
      </c>
      <c r="BM63" s="47">
        <v>0</v>
      </c>
      <c r="BN63" s="44">
        <v>2067</v>
      </c>
      <c r="BO63" s="45">
        <v>187</v>
      </c>
      <c r="BP63" s="45">
        <v>0</v>
      </c>
      <c r="BQ63" s="47">
        <v>0</v>
      </c>
      <c r="BR63" s="44">
        <v>850</v>
      </c>
      <c r="BS63" s="45">
        <v>866</v>
      </c>
      <c r="BT63" s="45">
        <v>0</v>
      </c>
      <c r="BU63" s="106">
        <v>0</v>
      </c>
      <c r="BV63" s="129">
        <v>1175</v>
      </c>
      <c r="BW63" s="45">
        <v>1031.75</v>
      </c>
      <c r="BX63" s="45">
        <v>0</v>
      </c>
      <c r="BY63" s="172">
        <v>1257</v>
      </c>
      <c r="BZ63" s="44">
        <v>934</v>
      </c>
      <c r="CA63" s="45">
        <v>7.01</v>
      </c>
      <c r="CB63" s="45">
        <v>0</v>
      </c>
      <c r="CC63" s="106">
        <v>0</v>
      </c>
      <c r="CD63" s="129">
        <v>774</v>
      </c>
      <c r="CE63" s="45">
        <v>19.53</v>
      </c>
      <c r="CF63" s="45">
        <v>0</v>
      </c>
      <c r="CG63" s="46">
        <v>0</v>
      </c>
      <c r="CH63" s="129">
        <v>197</v>
      </c>
      <c r="CI63" s="45">
        <v>63.73</v>
      </c>
      <c r="CJ63" s="45">
        <v>472</v>
      </c>
      <c r="CK63" s="46">
        <v>712</v>
      </c>
      <c r="CL63" s="129">
        <v>52</v>
      </c>
      <c r="CM63" s="45">
        <v>85.81</v>
      </c>
      <c r="CN63" s="45">
        <v>20</v>
      </c>
      <c r="CO63" s="46">
        <v>0</v>
      </c>
    </row>
    <row r="64" spans="1:93" s="2" customFormat="1" ht="21.75" customHeight="1" thickBot="1">
      <c r="A64" s="24" t="s">
        <v>97</v>
      </c>
      <c r="B64" s="77">
        <f>251501*B69</f>
        <v>85717.46992449823</v>
      </c>
      <c r="C64" s="78"/>
      <c r="D64" s="78"/>
      <c r="E64" s="79"/>
      <c r="F64" s="77">
        <f>248871*F69</f>
        <v>66010.16202672903</v>
      </c>
      <c r="G64" s="78"/>
      <c r="H64" s="78"/>
      <c r="I64" s="79"/>
      <c r="J64" s="77">
        <f>192928*J69</f>
        <v>63650.57161592996</v>
      </c>
      <c r="K64" s="78"/>
      <c r="L64" s="78"/>
      <c r="M64" s="79"/>
      <c r="N64" s="77">
        <f>141114*N69</f>
        <v>48282.49213192867</v>
      </c>
      <c r="O64" s="78"/>
      <c r="P64" s="78"/>
      <c r="Q64" s="79"/>
      <c r="R64" s="77">
        <f>125354*R69</f>
        <v>48965.78733694852</v>
      </c>
      <c r="S64" s="78"/>
      <c r="T64" s="78"/>
      <c r="U64" s="79"/>
      <c r="V64" s="77">
        <f>109826*V69</f>
        <v>41195.195238603235</v>
      </c>
      <c r="W64" s="78"/>
      <c r="X64" s="78"/>
      <c r="Y64" s="79"/>
      <c r="Z64" s="77">
        <f>96863*Z69</f>
        <v>26015.10475790508</v>
      </c>
      <c r="AA64" s="78"/>
      <c r="AB64" s="78"/>
      <c r="AC64" s="79"/>
      <c r="AD64" s="77">
        <f>76072*AD69</f>
        <v>20426.41826036208</v>
      </c>
      <c r="AE64" s="78"/>
      <c r="AF64" s="78"/>
      <c r="AG64" s="79"/>
      <c r="AH64" s="77">
        <f>51152*AH69</f>
        <v>14864.01764357289</v>
      </c>
      <c r="AI64" s="78"/>
      <c r="AJ64" s="78"/>
      <c r="AK64" s="79"/>
      <c r="AL64" s="77">
        <f>27821*AL69</f>
        <v>8856.856828724638</v>
      </c>
      <c r="AM64" s="78"/>
      <c r="AN64" s="78"/>
      <c r="AO64" s="79"/>
      <c r="AP64" s="77">
        <f>18333*AP69</f>
        <v>5667.7361012694955</v>
      </c>
      <c r="AQ64" s="78"/>
      <c r="AR64" s="78"/>
      <c r="AS64" s="79"/>
      <c r="AT64" s="77">
        <f>5609*AT69</f>
        <v>1610.341719931824</v>
      </c>
      <c r="AU64" s="78"/>
      <c r="AV64" s="78"/>
      <c r="AW64" s="79"/>
      <c r="AX64" s="77">
        <f>5141*AX69</f>
        <v>1443.510422379941</v>
      </c>
      <c r="AY64" s="78"/>
      <c r="AZ64" s="78"/>
      <c r="BA64" s="79"/>
      <c r="BB64" s="77">
        <f>3667*BB69</f>
        <v>1139.8048912642992</v>
      </c>
      <c r="BC64" s="78"/>
      <c r="BD64" s="78"/>
      <c r="BE64" s="79"/>
      <c r="BF64" s="77">
        <f>2814*BF69</f>
        <v>1231.1039180060404</v>
      </c>
      <c r="BG64" s="78"/>
      <c r="BH64" s="78"/>
      <c r="BI64" s="79"/>
      <c r="BJ64" s="77">
        <f>2040*BJ69</f>
        <v>1055.8574188952819</v>
      </c>
      <c r="BK64" s="78"/>
      <c r="BL64" s="78"/>
      <c r="BM64" s="80"/>
      <c r="BN64" s="77">
        <f>3929*BN69</f>
        <v>1812.665428735215</v>
      </c>
      <c r="BO64" s="78"/>
      <c r="BP64" s="78"/>
      <c r="BQ64" s="80"/>
      <c r="BR64" s="77">
        <f>2546*BR69</f>
        <v>882.2316462015585</v>
      </c>
      <c r="BS64" s="78"/>
      <c r="BT64" s="78"/>
      <c r="BU64" s="180"/>
      <c r="BV64" s="174">
        <f>3458*BV69</f>
        <v>1430.7071607064836</v>
      </c>
      <c r="BW64" s="54"/>
      <c r="BX64" s="54"/>
      <c r="BY64" s="55"/>
      <c r="BZ64" s="77">
        <f>1168*BZ69</f>
        <v>510.0323387823366</v>
      </c>
      <c r="CA64" s="78"/>
      <c r="CB64" s="78"/>
      <c r="CC64" s="180"/>
      <c r="CD64" s="174">
        <f>489*CD69</f>
        <v>187.83404046047886</v>
      </c>
      <c r="CE64" s="54"/>
      <c r="CF64" s="54"/>
      <c r="CG64" s="55"/>
      <c r="CH64" s="174">
        <f>1019*CH69</f>
        <v>504.8018007730579</v>
      </c>
      <c r="CI64" s="54"/>
      <c r="CJ64" s="54"/>
      <c r="CK64" s="55"/>
      <c r="CL64" s="174">
        <f>657*CL69</f>
        <v>307.71899400654263</v>
      </c>
      <c r="CM64" s="54"/>
      <c r="CN64" s="54"/>
      <c r="CO64" s="55"/>
    </row>
    <row r="65" spans="1:93" s="74" customFormat="1" ht="0" customHeight="1" hidden="1" thickBot="1" thickTop="1">
      <c r="A65" s="25" t="s">
        <v>83</v>
      </c>
      <c r="B65" s="73">
        <f aca="true" t="shared" si="42" ref="B65:AG65">SUM(B45:B52,B59:B63)</f>
        <v>3097230.0016</v>
      </c>
      <c r="C65" s="73">
        <f t="shared" si="42"/>
        <v>941318.577968</v>
      </c>
      <c r="D65" s="73">
        <f t="shared" si="42"/>
        <v>56567</v>
      </c>
      <c r="E65" s="73">
        <f t="shared" si="42"/>
        <v>573689</v>
      </c>
      <c r="F65" s="73">
        <f t="shared" si="42"/>
        <v>3376554</v>
      </c>
      <c r="G65" s="73">
        <f t="shared" si="42"/>
        <v>1093995.19676</v>
      </c>
      <c r="H65" s="73">
        <f t="shared" si="42"/>
        <v>82484</v>
      </c>
      <c r="I65" s="73">
        <f t="shared" si="42"/>
        <v>857568</v>
      </c>
      <c r="J65" s="73">
        <f t="shared" si="42"/>
        <v>3361012</v>
      </c>
      <c r="K65" s="73">
        <f t="shared" si="42"/>
        <v>1237513.2084920001</v>
      </c>
      <c r="L65" s="73">
        <f t="shared" si="42"/>
        <v>220557</v>
      </c>
      <c r="M65" s="73">
        <f t="shared" si="42"/>
        <v>1033368</v>
      </c>
      <c r="N65" s="73">
        <f t="shared" si="42"/>
        <v>4208274</v>
      </c>
      <c r="O65" s="73">
        <f t="shared" si="42"/>
        <v>913480.999122</v>
      </c>
      <c r="P65" s="73">
        <f t="shared" si="42"/>
        <v>184628.8556</v>
      </c>
      <c r="Q65" s="73">
        <f t="shared" si="42"/>
        <v>878705.7948</v>
      </c>
      <c r="R65" s="73">
        <f t="shared" si="42"/>
        <v>4041285</v>
      </c>
      <c r="S65" s="73">
        <f t="shared" si="42"/>
        <v>1060119.041818</v>
      </c>
      <c r="T65" s="73">
        <f t="shared" si="42"/>
        <v>57532.3274</v>
      </c>
      <c r="U65" s="73">
        <f t="shared" si="42"/>
        <v>661344</v>
      </c>
      <c r="V65" s="73">
        <f t="shared" si="42"/>
        <v>4255726</v>
      </c>
      <c r="W65" s="73">
        <f t="shared" si="42"/>
        <v>1138123.8605999998</v>
      </c>
      <c r="X65" s="73">
        <f t="shared" si="42"/>
        <v>99568</v>
      </c>
      <c r="Y65" s="73">
        <f t="shared" si="42"/>
        <v>821266</v>
      </c>
      <c r="Z65" s="73">
        <f t="shared" si="42"/>
        <v>3281213</v>
      </c>
      <c r="AA65" s="73">
        <f t="shared" si="42"/>
        <v>764416.7769079999</v>
      </c>
      <c r="AB65" s="73">
        <f t="shared" si="42"/>
        <v>427601</v>
      </c>
      <c r="AC65" s="73">
        <f t="shared" si="42"/>
        <v>1174301</v>
      </c>
      <c r="AD65" s="73">
        <f t="shared" si="42"/>
        <v>4261427</v>
      </c>
      <c r="AE65" s="73">
        <f t="shared" si="42"/>
        <v>880702.6547979999</v>
      </c>
      <c r="AF65" s="73">
        <f t="shared" si="42"/>
        <v>128670</v>
      </c>
      <c r="AG65" s="73">
        <f t="shared" si="42"/>
        <v>990677</v>
      </c>
      <c r="AH65" s="73">
        <f aca="true" t="shared" si="43" ref="AH65:BQ65">SUM(AH45:AH52,AH59:AH63)</f>
        <v>4157888</v>
      </c>
      <c r="AI65" s="73">
        <f t="shared" si="43"/>
        <v>859007.621357252</v>
      </c>
      <c r="AJ65" s="73">
        <f t="shared" si="43"/>
        <v>233397</v>
      </c>
      <c r="AK65" s="73">
        <f t="shared" si="43"/>
        <v>686546</v>
      </c>
      <c r="AL65" s="73">
        <f t="shared" si="43"/>
        <v>3626768</v>
      </c>
      <c r="AM65" s="73">
        <f t="shared" si="43"/>
        <v>738746.141556</v>
      </c>
      <c r="AN65" s="73">
        <f t="shared" si="43"/>
        <v>99207</v>
      </c>
      <c r="AO65" s="73">
        <f t="shared" si="43"/>
        <v>675649</v>
      </c>
      <c r="AP65" s="73">
        <f t="shared" si="43"/>
        <v>2977718</v>
      </c>
      <c r="AQ65" s="73">
        <f t="shared" si="43"/>
        <v>694678.5978120001</v>
      </c>
      <c r="AR65" s="73">
        <f t="shared" si="43"/>
        <v>107872</v>
      </c>
      <c r="AS65" s="73">
        <f t="shared" si="43"/>
        <v>587193</v>
      </c>
      <c r="AT65" s="73">
        <f t="shared" si="43"/>
        <v>3222244</v>
      </c>
      <c r="AU65" s="73">
        <f t="shared" si="43"/>
        <v>655624.099718</v>
      </c>
      <c r="AV65" s="73">
        <f t="shared" si="43"/>
        <v>156274</v>
      </c>
      <c r="AW65" s="73">
        <f t="shared" si="43"/>
        <v>873522</v>
      </c>
      <c r="AX65" s="73">
        <f t="shared" si="43"/>
        <v>2924476</v>
      </c>
      <c r="AY65" s="73">
        <f t="shared" si="43"/>
        <v>566877.8433760001</v>
      </c>
      <c r="AZ65" s="73">
        <f t="shared" si="43"/>
        <v>225352</v>
      </c>
      <c r="BA65" s="73">
        <f t="shared" si="43"/>
        <v>609250.7024</v>
      </c>
      <c r="BB65" s="73">
        <f t="shared" si="43"/>
        <v>3229758</v>
      </c>
      <c r="BC65" s="73">
        <f t="shared" si="43"/>
        <v>622073.39097</v>
      </c>
      <c r="BD65" s="73">
        <f t="shared" si="43"/>
        <v>204551</v>
      </c>
      <c r="BE65" s="73">
        <f t="shared" si="43"/>
        <v>805524</v>
      </c>
      <c r="BF65" s="73">
        <f t="shared" si="43"/>
        <v>3495477</v>
      </c>
      <c r="BG65" s="73">
        <f t="shared" si="43"/>
        <v>693626.485344</v>
      </c>
      <c r="BH65" s="73">
        <f t="shared" si="43"/>
        <v>277173</v>
      </c>
      <c r="BI65" s="73">
        <f t="shared" si="43"/>
        <v>1732786</v>
      </c>
      <c r="BJ65" s="73">
        <f t="shared" si="43"/>
        <v>3713255</v>
      </c>
      <c r="BK65" s="73">
        <f t="shared" si="43"/>
        <v>727998.79948316</v>
      </c>
      <c r="BL65" s="73">
        <f t="shared" si="43"/>
        <v>364882</v>
      </c>
      <c r="BM65" s="73">
        <f t="shared" si="43"/>
        <v>1209099</v>
      </c>
      <c r="BN65" s="73">
        <f t="shared" si="43"/>
        <v>3441763</v>
      </c>
      <c r="BO65" s="73">
        <f t="shared" si="43"/>
        <v>655080</v>
      </c>
      <c r="BP65" s="73">
        <f t="shared" si="43"/>
        <v>373542</v>
      </c>
      <c r="BQ65" s="73">
        <f t="shared" si="43"/>
        <v>1228076</v>
      </c>
      <c r="BR65" s="73">
        <f aca="true" t="shared" si="44" ref="BR65:CC65">SUM(BR45:BR52,BR59:BR63)</f>
        <v>2766253</v>
      </c>
      <c r="BS65" s="73">
        <f t="shared" si="44"/>
        <v>559755</v>
      </c>
      <c r="BT65" s="73">
        <f t="shared" si="44"/>
        <v>406388</v>
      </c>
      <c r="BU65" s="73">
        <f t="shared" si="44"/>
        <v>1341902</v>
      </c>
      <c r="BV65" s="73">
        <f t="shared" si="44"/>
        <v>3181390</v>
      </c>
      <c r="BW65" s="73">
        <f t="shared" si="44"/>
        <v>687231.11</v>
      </c>
      <c r="BX65" s="73">
        <f t="shared" si="44"/>
        <v>411119</v>
      </c>
      <c r="BY65" s="73">
        <f t="shared" si="44"/>
        <v>1110328</v>
      </c>
      <c r="BZ65" s="73">
        <f t="shared" si="44"/>
        <v>2950142</v>
      </c>
      <c r="CA65" s="73">
        <f t="shared" si="44"/>
        <v>682257.16</v>
      </c>
      <c r="CB65" s="73">
        <f t="shared" si="44"/>
        <v>417970</v>
      </c>
      <c r="CC65" s="73">
        <f t="shared" si="44"/>
        <v>1406102</v>
      </c>
      <c r="CD65" s="73">
        <f>SUM(CD45:CD52,CD59:CD63)</f>
        <v>2509214</v>
      </c>
      <c r="CE65" s="73">
        <f>SUM(CE45:CE52,CE59:CE63)</f>
        <v>699831.2200000001</v>
      </c>
      <c r="CF65" s="73">
        <f>SUM(CF45:CF52,CF59:CF63)</f>
        <v>296415</v>
      </c>
      <c r="CG65" s="73">
        <f>SUM(CG45:CG52,CG59:CG63)</f>
        <v>1547581</v>
      </c>
      <c r="CH65" s="73">
        <f aca="true" t="shared" si="45" ref="CH65:CO65">SUM(CH45:CH52,CH59:CH63)</f>
        <v>2443284</v>
      </c>
      <c r="CI65" s="73">
        <f t="shared" si="45"/>
        <v>902474.59</v>
      </c>
      <c r="CJ65" s="73">
        <f t="shared" si="45"/>
        <v>272769</v>
      </c>
      <c r="CK65" s="73">
        <f t="shared" si="45"/>
        <v>2241071</v>
      </c>
      <c r="CL65" s="73">
        <f t="shared" si="45"/>
        <v>3015288</v>
      </c>
      <c r="CM65" s="73">
        <f t="shared" si="45"/>
        <v>625674.92</v>
      </c>
      <c r="CN65" s="73">
        <f t="shared" si="45"/>
        <v>402940</v>
      </c>
      <c r="CO65" s="73">
        <f t="shared" si="45"/>
        <v>2112633</v>
      </c>
    </row>
    <row r="66" spans="1:93" s="74" customFormat="1" ht="16.5" customHeight="1" hidden="1" thickBot="1">
      <c r="A66" s="25" t="s">
        <v>84</v>
      </c>
      <c r="B66" s="73">
        <f>SUM(B45:B52)</f>
        <v>2041621</v>
      </c>
      <c r="C66" s="73">
        <f aca="true" t="shared" si="46" ref="C66:BN66">SUM(C45:C52)</f>
        <v>522685.83311</v>
      </c>
      <c r="D66" s="73">
        <f t="shared" si="46"/>
        <v>9987</v>
      </c>
      <c r="E66" s="73">
        <f t="shared" si="46"/>
        <v>495496</v>
      </c>
      <c r="F66" s="73">
        <f t="shared" si="46"/>
        <v>2480962</v>
      </c>
      <c r="G66" s="73">
        <f t="shared" si="46"/>
        <v>540426.2611059999</v>
      </c>
      <c r="H66" s="73">
        <f t="shared" si="46"/>
        <v>23512</v>
      </c>
      <c r="I66" s="73">
        <f t="shared" si="46"/>
        <v>574563</v>
      </c>
      <c r="J66" s="73">
        <f t="shared" si="46"/>
        <v>2252151</v>
      </c>
      <c r="K66" s="73">
        <f t="shared" si="46"/>
        <v>680062.75252</v>
      </c>
      <c r="L66" s="73">
        <f t="shared" si="46"/>
        <v>54108</v>
      </c>
      <c r="M66" s="73">
        <f t="shared" si="46"/>
        <v>838903</v>
      </c>
      <c r="N66" s="73">
        <f t="shared" si="46"/>
        <v>2768403</v>
      </c>
      <c r="O66" s="73">
        <f t="shared" si="46"/>
        <v>492494.32347199996</v>
      </c>
      <c r="P66" s="73">
        <f t="shared" si="46"/>
        <v>59465</v>
      </c>
      <c r="Q66" s="73">
        <f t="shared" si="46"/>
        <v>627425</v>
      </c>
      <c r="R66" s="73">
        <f t="shared" si="46"/>
        <v>2462678</v>
      </c>
      <c r="S66" s="73">
        <f t="shared" si="46"/>
        <v>604842.286094</v>
      </c>
      <c r="T66" s="73">
        <f t="shared" si="46"/>
        <v>19511</v>
      </c>
      <c r="U66" s="73">
        <f t="shared" si="46"/>
        <v>463482</v>
      </c>
      <c r="V66" s="73">
        <f t="shared" si="46"/>
        <v>2659424</v>
      </c>
      <c r="W66" s="73">
        <f t="shared" si="46"/>
        <v>451030.447768</v>
      </c>
      <c r="X66" s="73">
        <f t="shared" si="46"/>
        <v>29366</v>
      </c>
      <c r="Y66" s="73">
        <f t="shared" si="46"/>
        <v>655067</v>
      </c>
      <c r="Z66" s="73">
        <f t="shared" si="46"/>
        <v>2399957</v>
      </c>
      <c r="AA66" s="73">
        <f t="shared" si="46"/>
        <v>482703.4269699999</v>
      </c>
      <c r="AB66" s="73">
        <f t="shared" si="46"/>
        <v>26994</v>
      </c>
      <c r="AC66" s="73">
        <f t="shared" si="46"/>
        <v>838756</v>
      </c>
      <c r="AD66" s="73">
        <f t="shared" si="46"/>
        <v>3117173</v>
      </c>
      <c r="AE66" s="73">
        <f t="shared" si="46"/>
        <v>576223.1548439999</v>
      </c>
      <c r="AF66" s="73">
        <f t="shared" si="46"/>
        <v>7961</v>
      </c>
      <c r="AG66" s="73">
        <f t="shared" si="46"/>
        <v>870568</v>
      </c>
      <c r="AH66" s="73">
        <f t="shared" si="46"/>
        <v>2949667</v>
      </c>
      <c r="AI66" s="73">
        <f t="shared" si="46"/>
        <v>529978.496986</v>
      </c>
      <c r="AJ66" s="73">
        <f t="shared" si="46"/>
        <v>10787</v>
      </c>
      <c r="AK66" s="73">
        <f t="shared" si="46"/>
        <v>587539</v>
      </c>
      <c r="AL66" s="73">
        <f t="shared" si="46"/>
        <v>2472181</v>
      </c>
      <c r="AM66" s="73">
        <f t="shared" si="46"/>
        <v>403643.440548</v>
      </c>
      <c r="AN66" s="73">
        <f t="shared" si="46"/>
        <v>11949</v>
      </c>
      <c r="AO66" s="73">
        <f t="shared" si="46"/>
        <v>651348</v>
      </c>
      <c r="AP66" s="73">
        <f t="shared" si="46"/>
        <v>2057142</v>
      </c>
      <c r="AQ66" s="73">
        <f t="shared" si="46"/>
        <v>367132.75550800003</v>
      </c>
      <c r="AR66" s="73">
        <f t="shared" si="46"/>
        <v>18104</v>
      </c>
      <c r="AS66" s="73">
        <f t="shared" si="46"/>
        <v>493402</v>
      </c>
      <c r="AT66" s="73">
        <f t="shared" si="46"/>
        <v>2297139</v>
      </c>
      <c r="AU66" s="73">
        <f t="shared" si="46"/>
        <v>301655.42587800004</v>
      </c>
      <c r="AV66" s="73">
        <f t="shared" si="46"/>
        <v>39053</v>
      </c>
      <c r="AW66" s="73">
        <f t="shared" si="46"/>
        <v>617174</v>
      </c>
      <c r="AX66" s="73">
        <f t="shared" si="46"/>
        <v>2103330</v>
      </c>
      <c r="AY66" s="73">
        <f t="shared" si="46"/>
        <v>261559.18650200003</v>
      </c>
      <c r="AZ66" s="73">
        <f t="shared" si="46"/>
        <v>65618</v>
      </c>
      <c r="BA66" s="73">
        <f t="shared" si="46"/>
        <v>528857</v>
      </c>
      <c r="BB66" s="73">
        <f t="shared" si="46"/>
        <v>2225860</v>
      </c>
      <c r="BC66" s="73">
        <f t="shared" si="46"/>
        <v>241300.72335800002</v>
      </c>
      <c r="BD66" s="73">
        <f t="shared" si="46"/>
        <v>27337</v>
      </c>
      <c r="BE66" s="73">
        <f t="shared" si="46"/>
        <v>664429</v>
      </c>
      <c r="BF66" s="73">
        <f t="shared" si="46"/>
        <v>1966232</v>
      </c>
      <c r="BG66" s="73">
        <f t="shared" si="46"/>
        <v>235886.9337</v>
      </c>
      <c r="BH66" s="73">
        <f t="shared" si="46"/>
        <v>131613</v>
      </c>
      <c r="BI66" s="73">
        <f t="shared" si="46"/>
        <v>1118283</v>
      </c>
      <c r="BJ66" s="73">
        <f t="shared" si="46"/>
        <v>1791359</v>
      </c>
      <c r="BK66" s="73">
        <f t="shared" si="46"/>
        <v>254861.29957716</v>
      </c>
      <c r="BL66" s="73">
        <f t="shared" si="46"/>
        <v>151516</v>
      </c>
      <c r="BM66" s="73">
        <f t="shared" si="46"/>
        <v>821650</v>
      </c>
      <c r="BN66" s="73">
        <f t="shared" si="46"/>
        <v>1853887</v>
      </c>
      <c r="BO66" s="73">
        <f aca="true" t="shared" si="47" ref="BO66:BU66">SUM(BO45:BO52)</f>
        <v>255012</v>
      </c>
      <c r="BP66" s="73">
        <f t="shared" si="47"/>
        <v>166073</v>
      </c>
      <c r="BQ66" s="73">
        <f t="shared" si="47"/>
        <v>866582</v>
      </c>
      <c r="BR66" s="73">
        <f t="shared" si="47"/>
        <v>1807700</v>
      </c>
      <c r="BS66" s="73">
        <f t="shared" si="47"/>
        <v>226456</v>
      </c>
      <c r="BT66" s="73">
        <f t="shared" si="47"/>
        <v>190072</v>
      </c>
      <c r="BU66" s="73">
        <f t="shared" si="47"/>
        <v>1090142</v>
      </c>
      <c r="BV66" s="73">
        <f aca="true" t="shared" si="48" ref="BV66:CC66">SUM(BV45:BV52)</f>
        <v>1865127</v>
      </c>
      <c r="BW66" s="73">
        <f t="shared" si="48"/>
        <v>224144.63</v>
      </c>
      <c r="BX66" s="73">
        <f t="shared" si="48"/>
        <v>128357</v>
      </c>
      <c r="BY66" s="73">
        <f t="shared" si="48"/>
        <v>822407</v>
      </c>
      <c r="BZ66" s="73">
        <f t="shared" si="48"/>
        <v>1661899</v>
      </c>
      <c r="CA66" s="73">
        <f t="shared" si="48"/>
        <v>309362.73000000004</v>
      </c>
      <c r="CB66" s="73">
        <f t="shared" si="48"/>
        <v>195898</v>
      </c>
      <c r="CC66" s="73">
        <f t="shared" si="48"/>
        <v>1093752</v>
      </c>
      <c r="CD66" s="73">
        <f>SUM(CD45:CD52)</f>
        <v>1545378</v>
      </c>
      <c r="CE66" s="73">
        <f>SUM(CE45:CE52)</f>
        <v>254534.31</v>
      </c>
      <c r="CF66" s="73">
        <f>SUM(CF45:CF52)</f>
        <v>80721</v>
      </c>
      <c r="CG66" s="73">
        <f>SUM(CG45:CG52)</f>
        <v>1231713</v>
      </c>
      <c r="CH66" s="73">
        <f aca="true" t="shared" si="49" ref="CH66:CO66">SUM(CH45:CH52)</f>
        <v>1232907</v>
      </c>
      <c r="CI66" s="73">
        <f t="shared" si="49"/>
        <v>246406.25999999998</v>
      </c>
      <c r="CJ66" s="73">
        <f t="shared" si="49"/>
        <v>107023</v>
      </c>
      <c r="CK66" s="73">
        <f t="shared" si="49"/>
        <v>1754609</v>
      </c>
      <c r="CL66" s="73">
        <f t="shared" si="49"/>
        <v>1603018</v>
      </c>
      <c r="CM66" s="73">
        <f t="shared" si="49"/>
        <v>208064.38</v>
      </c>
      <c r="CN66" s="73">
        <f t="shared" si="49"/>
        <v>173694</v>
      </c>
      <c r="CO66" s="73">
        <f t="shared" si="49"/>
        <v>1268571</v>
      </c>
    </row>
    <row r="67" spans="1:93" s="74" customFormat="1" ht="18" customHeight="1" hidden="1" thickBot="1">
      <c r="A67" s="26" t="s">
        <v>86</v>
      </c>
      <c r="B67" s="75">
        <f>B66/B65</f>
        <v>0.6591764250460307</v>
      </c>
      <c r="C67" s="75">
        <f aca="true" t="shared" si="50" ref="C67:BM67">C66/C65</f>
        <v>0.5552698579882577</v>
      </c>
      <c r="D67" s="75">
        <f t="shared" si="50"/>
        <v>0.1765516997542737</v>
      </c>
      <c r="E67" s="75">
        <f t="shared" si="50"/>
        <v>0.8637014131349913</v>
      </c>
      <c r="F67" s="75">
        <f t="shared" si="50"/>
        <v>0.7347615349850765</v>
      </c>
      <c r="G67" s="75">
        <f t="shared" si="50"/>
        <v>0.49399326679544675</v>
      </c>
      <c r="H67" s="75">
        <f t="shared" si="50"/>
        <v>0.28504922166723246</v>
      </c>
      <c r="I67" s="75">
        <f t="shared" si="50"/>
        <v>0.6699911843725512</v>
      </c>
      <c r="J67" s="75">
        <f t="shared" si="50"/>
        <v>0.6700812136344648</v>
      </c>
      <c r="K67" s="75">
        <f t="shared" si="50"/>
        <v>0.5495397930731631</v>
      </c>
      <c r="L67" s="75">
        <f t="shared" si="50"/>
        <v>0.24532433792625036</v>
      </c>
      <c r="M67" s="75">
        <f t="shared" si="50"/>
        <v>0.8118143778402273</v>
      </c>
      <c r="N67" s="75">
        <f t="shared" si="50"/>
        <v>0.6578476116336531</v>
      </c>
      <c r="O67" s="75">
        <f t="shared" si="50"/>
        <v>0.5391401944269942</v>
      </c>
      <c r="P67" s="75">
        <f t="shared" si="50"/>
        <v>0.32207858195704486</v>
      </c>
      <c r="Q67" s="75">
        <f t="shared" si="50"/>
        <v>0.7140330742245834</v>
      </c>
      <c r="R67" s="75">
        <f t="shared" si="50"/>
        <v>0.6093799373219162</v>
      </c>
      <c r="S67" s="75">
        <f t="shared" si="50"/>
        <v>0.5705418563718608</v>
      </c>
      <c r="T67" s="75">
        <f t="shared" si="50"/>
        <v>0.3391310743323066</v>
      </c>
      <c r="U67" s="75">
        <f t="shared" si="50"/>
        <v>0.7008183335752649</v>
      </c>
      <c r="V67" s="75">
        <f t="shared" si="50"/>
        <v>0.6249048928431953</v>
      </c>
      <c r="W67" s="75">
        <f t="shared" si="50"/>
        <v>0.3962929373348032</v>
      </c>
      <c r="X67" s="75">
        <f t="shared" si="50"/>
        <v>0.29493411537843484</v>
      </c>
      <c r="Y67" s="75">
        <f t="shared" si="50"/>
        <v>0.7976307310907793</v>
      </c>
      <c r="Z67" s="75">
        <f t="shared" si="50"/>
        <v>0.7314237143397884</v>
      </c>
      <c r="AA67" s="75">
        <f t="shared" si="50"/>
        <v>0.6314662911016864</v>
      </c>
      <c r="AB67" s="75">
        <f t="shared" si="50"/>
        <v>0.0631289449744037</v>
      </c>
      <c r="AC67" s="75">
        <f t="shared" si="50"/>
        <v>0.7142598022142534</v>
      </c>
      <c r="AD67" s="75">
        <f t="shared" si="50"/>
        <v>0.7314857206283247</v>
      </c>
      <c r="AE67" s="75">
        <f t="shared" si="50"/>
        <v>0.6542766184532097</v>
      </c>
      <c r="AF67" s="75">
        <f t="shared" si="50"/>
        <v>0.06187145410740654</v>
      </c>
      <c r="AG67" s="75">
        <f t="shared" si="50"/>
        <v>0.8787606858744071</v>
      </c>
      <c r="AH67" s="75">
        <f t="shared" si="50"/>
        <v>0.7094147317099451</v>
      </c>
      <c r="AI67" s="75">
        <f t="shared" si="50"/>
        <v>0.616966001010121</v>
      </c>
      <c r="AJ67" s="75">
        <f t="shared" si="50"/>
        <v>0.046217389255217504</v>
      </c>
      <c r="AK67" s="75">
        <f t="shared" si="50"/>
        <v>0.8557897067348729</v>
      </c>
      <c r="AL67" s="75">
        <f t="shared" si="50"/>
        <v>0.6816485090857756</v>
      </c>
      <c r="AM67" s="75">
        <f t="shared" si="50"/>
        <v>0.5463899137230244</v>
      </c>
      <c r="AN67" s="75">
        <f t="shared" si="50"/>
        <v>0.12044512987994799</v>
      </c>
      <c r="AO67" s="75">
        <f t="shared" si="50"/>
        <v>0.9640331000267891</v>
      </c>
      <c r="AP67" s="75">
        <f t="shared" si="50"/>
        <v>0.690845137115066</v>
      </c>
      <c r="AQ67" s="75">
        <f t="shared" si="50"/>
        <v>0.5284929702229817</v>
      </c>
      <c r="AR67" s="75">
        <f t="shared" si="50"/>
        <v>0.1678285375259567</v>
      </c>
      <c r="AS67" s="75">
        <f t="shared" si="50"/>
        <v>0.8402722784501859</v>
      </c>
      <c r="AT67" s="75">
        <f t="shared" si="50"/>
        <v>0.7129003886732351</v>
      </c>
      <c r="AU67" s="75">
        <f t="shared" si="50"/>
        <v>0.4601042365705431</v>
      </c>
      <c r="AV67" s="75">
        <f t="shared" si="50"/>
        <v>0.24990081523477994</v>
      </c>
      <c r="AW67" s="75">
        <f t="shared" si="50"/>
        <v>0.7065351530928815</v>
      </c>
      <c r="AX67" s="75">
        <f t="shared" si="50"/>
        <v>0.7192160236568876</v>
      </c>
      <c r="AY67" s="75">
        <f t="shared" si="50"/>
        <v>0.46140308632333055</v>
      </c>
      <c r="AZ67" s="75">
        <f t="shared" si="50"/>
        <v>0.2911800205900103</v>
      </c>
      <c r="BA67" s="75">
        <f t="shared" si="50"/>
        <v>0.8680449573823914</v>
      </c>
      <c r="BB67" s="75">
        <f t="shared" si="50"/>
        <v>0.689172377620862</v>
      </c>
      <c r="BC67" s="75">
        <f t="shared" si="50"/>
        <v>0.38789751637140346</v>
      </c>
      <c r="BD67" s="75">
        <f t="shared" si="50"/>
        <v>0.1336439323200571</v>
      </c>
      <c r="BE67" s="75">
        <f t="shared" si="50"/>
        <v>0.8248407247952886</v>
      </c>
      <c r="BF67" s="75">
        <f t="shared" si="50"/>
        <v>0.5625074918244348</v>
      </c>
      <c r="BG67" s="75">
        <f t="shared" si="50"/>
        <v>0.3400777488809604</v>
      </c>
      <c r="BH67" s="75">
        <f t="shared" si="50"/>
        <v>0.4748406230044052</v>
      </c>
      <c r="BI67" s="75">
        <f t="shared" si="50"/>
        <v>0.6453670562896976</v>
      </c>
      <c r="BJ67" s="75">
        <f t="shared" si="50"/>
        <v>0.4824228338748618</v>
      </c>
      <c r="BK67" s="75">
        <f t="shared" si="50"/>
        <v>0.3500847800272443</v>
      </c>
      <c r="BL67" s="75">
        <f t="shared" si="50"/>
        <v>0.4152465728646521</v>
      </c>
      <c r="BM67" s="75">
        <f t="shared" si="50"/>
        <v>0.6795556029737846</v>
      </c>
      <c r="BN67" s="75">
        <f aca="true" t="shared" si="51" ref="BN67:BU67">BN66/BN65</f>
        <v>0.5386445841854887</v>
      </c>
      <c r="BO67" s="75">
        <f t="shared" si="51"/>
        <v>0.38928375160285766</v>
      </c>
      <c r="BP67" s="75">
        <f t="shared" si="51"/>
        <v>0.4445898988601014</v>
      </c>
      <c r="BQ67" s="75">
        <f t="shared" si="51"/>
        <v>0.7056419960979614</v>
      </c>
      <c r="BR67" s="75">
        <f t="shared" si="51"/>
        <v>0.6534832497244467</v>
      </c>
      <c r="BS67" s="75">
        <f t="shared" si="51"/>
        <v>0.4045627104715456</v>
      </c>
      <c r="BT67" s="75">
        <f t="shared" si="51"/>
        <v>0.4677106607478567</v>
      </c>
      <c r="BU67" s="75">
        <f t="shared" si="51"/>
        <v>0.8123857032778846</v>
      </c>
      <c r="BV67" s="75">
        <f aca="true" t="shared" si="52" ref="BV67:CC67">BV66/BV65</f>
        <v>0.5862616654984142</v>
      </c>
      <c r="BW67" s="75">
        <f t="shared" si="52"/>
        <v>0.3261561165355276</v>
      </c>
      <c r="BX67" s="75">
        <f t="shared" si="52"/>
        <v>0.31221373860123225</v>
      </c>
      <c r="BY67" s="75">
        <f t="shared" si="52"/>
        <v>0.7406883371400163</v>
      </c>
      <c r="BZ67" s="75">
        <f t="shared" si="52"/>
        <v>0.5633284770699173</v>
      </c>
      <c r="CA67" s="75">
        <f t="shared" si="52"/>
        <v>0.4534400635678195</v>
      </c>
      <c r="CB67" s="75">
        <f t="shared" si="52"/>
        <v>0.468689140368926</v>
      </c>
      <c r="CC67" s="75">
        <f t="shared" si="52"/>
        <v>0.7778610655556993</v>
      </c>
      <c r="CD67" s="75">
        <f>CD66/CD65</f>
        <v>0.6158813078517815</v>
      </c>
      <c r="CE67" s="75">
        <f>CE66/CE65</f>
        <v>0.36370813808506564</v>
      </c>
      <c r="CF67" s="75">
        <f>CF66/CF65</f>
        <v>0.2723242750872932</v>
      </c>
      <c r="CG67" s="75">
        <f>CG66/CG65</f>
        <v>0.7958956590963575</v>
      </c>
      <c r="CH67" s="75">
        <f aca="true" t="shared" si="53" ref="CH67:CO67">CH66/CH65</f>
        <v>0.5046105978674603</v>
      </c>
      <c r="CI67" s="75">
        <f t="shared" si="53"/>
        <v>0.2730340141765099</v>
      </c>
      <c r="CJ67" s="75">
        <f t="shared" si="53"/>
        <v>0.3923576359483666</v>
      </c>
      <c r="CK67" s="75">
        <f t="shared" si="53"/>
        <v>0.7829332493258804</v>
      </c>
      <c r="CL67" s="75">
        <f t="shared" si="53"/>
        <v>0.531630146108763</v>
      </c>
      <c r="CM67" s="75">
        <f t="shared" si="53"/>
        <v>0.33254390315021737</v>
      </c>
      <c r="CN67" s="75">
        <f t="shared" si="53"/>
        <v>0.43106666004864247</v>
      </c>
      <c r="CO67" s="75">
        <f t="shared" si="53"/>
        <v>0.6004691775618387</v>
      </c>
    </row>
    <row r="68" spans="1:93" s="74" customFormat="1" ht="18" customHeight="1" hidden="1" thickBot="1">
      <c r="A68" s="25" t="s">
        <v>85</v>
      </c>
      <c r="B68" s="73">
        <f aca="true" t="shared" si="54" ref="B68:AG68">SUM(B59:B63)</f>
        <v>1055609.0016</v>
      </c>
      <c r="C68" s="73">
        <f t="shared" si="54"/>
        <v>418632.744858</v>
      </c>
      <c r="D68" s="73">
        <f t="shared" si="54"/>
        <v>46580</v>
      </c>
      <c r="E68" s="73">
        <f t="shared" si="54"/>
        <v>78193</v>
      </c>
      <c r="F68" s="73">
        <f t="shared" si="54"/>
        <v>895592</v>
      </c>
      <c r="G68" s="73">
        <f t="shared" si="54"/>
        <v>553568.935654</v>
      </c>
      <c r="H68" s="73">
        <f t="shared" si="54"/>
        <v>58972</v>
      </c>
      <c r="I68" s="73">
        <f t="shared" si="54"/>
        <v>283005</v>
      </c>
      <c r="J68" s="73">
        <f t="shared" si="54"/>
        <v>1108861</v>
      </c>
      <c r="K68" s="73">
        <f t="shared" si="54"/>
        <v>557450.455972</v>
      </c>
      <c r="L68" s="73">
        <f t="shared" si="54"/>
        <v>166449</v>
      </c>
      <c r="M68" s="73">
        <f t="shared" si="54"/>
        <v>194465</v>
      </c>
      <c r="N68" s="73">
        <f t="shared" si="54"/>
        <v>1439871</v>
      </c>
      <c r="O68" s="73">
        <f t="shared" si="54"/>
        <v>420986.67565</v>
      </c>
      <c r="P68" s="73">
        <f t="shared" si="54"/>
        <v>125163.85560000001</v>
      </c>
      <c r="Q68" s="73">
        <f t="shared" si="54"/>
        <v>251280.7948</v>
      </c>
      <c r="R68" s="73">
        <f t="shared" si="54"/>
        <v>1578607</v>
      </c>
      <c r="S68" s="73">
        <f t="shared" si="54"/>
        <v>455276.755724</v>
      </c>
      <c r="T68" s="73">
        <f t="shared" si="54"/>
        <v>38021.3274</v>
      </c>
      <c r="U68" s="73">
        <f t="shared" si="54"/>
        <v>197862</v>
      </c>
      <c r="V68" s="73">
        <f t="shared" si="54"/>
        <v>1596302</v>
      </c>
      <c r="W68" s="73">
        <f t="shared" si="54"/>
        <v>687093.4128320001</v>
      </c>
      <c r="X68" s="73">
        <f t="shared" si="54"/>
        <v>70202</v>
      </c>
      <c r="Y68" s="73">
        <f t="shared" si="54"/>
        <v>166199</v>
      </c>
      <c r="Z68" s="73">
        <f t="shared" si="54"/>
        <v>881256</v>
      </c>
      <c r="AA68" s="73">
        <f t="shared" si="54"/>
        <v>281713.34993799997</v>
      </c>
      <c r="AB68" s="73">
        <f t="shared" si="54"/>
        <v>400607</v>
      </c>
      <c r="AC68" s="73">
        <f t="shared" si="54"/>
        <v>335545</v>
      </c>
      <c r="AD68" s="73">
        <f t="shared" si="54"/>
        <v>1144254</v>
      </c>
      <c r="AE68" s="73">
        <f t="shared" si="54"/>
        <v>304479.49995399994</v>
      </c>
      <c r="AF68" s="73">
        <f t="shared" si="54"/>
        <v>120709</v>
      </c>
      <c r="AG68" s="73">
        <f t="shared" si="54"/>
        <v>120109</v>
      </c>
      <c r="AH68" s="73">
        <f aca="true" t="shared" si="55" ref="AH68:BM68">SUM(AH59:AH63)</f>
        <v>1208221</v>
      </c>
      <c r="AI68" s="73">
        <f t="shared" si="55"/>
        <v>329029.124371252</v>
      </c>
      <c r="AJ68" s="73">
        <f t="shared" si="55"/>
        <v>222610</v>
      </c>
      <c r="AK68" s="73">
        <f t="shared" si="55"/>
        <v>99007</v>
      </c>
      <c r="AL68" s="73">
        <f t="shared" si="55"/>
        <v>1154587</v>
      </c>
      <c r="AM68" s="73">
        <f t="shared" si="55"/>
        <v>335102.701008</v>
      </c>
      <c r="AN68" s="73">
        <f t="shared" si="55"/>
        <v>87258</v>
      </c>
      <c r="AO68" s="73">
        <f t="shared" si="55"/>
        <v>24301</v>
      </c>
      <c r="AP68" s="73">
        <f t="shared" si="55"/>
        <v>920576</v>
      </c>
      <c r="AQ68" s="73">
        <f t="shared" si="55"/>
        <v>327545.842304</v>
      </c>
      <c r="AR68" s="73">
        <f t="shared" si="55"/>
        <v>89768</v>
      </c>
      <c r="AS68" s="73">
        <f t="shared" si="55"/>
        <v>93791</v>
      </c>
      <c r="AT68" s="73">
        <f t="shared" si="55"/>
        <v>925105</v>
      </c>
      <c r="AU68" s="73">
        <f t="shared" si="55"/>
        <v>353968.67384</v>
      </c>
      <c r="AV68" s="73">
        <f t="shared" si="55"/>
        <v>117221</v>
      </c>
      <c r="AW68" s="73">
        <f t="shared" si="55"/>
        <v>256348</v>
      </c>
      <c r="AX68" s="73">
        <f t="shared" si="55"/>
        <v>821146</v>
      </c>
      <c r="AY68" s="73">
        <f t="shared" si="55"/>
        <v>305318.65687400004</v>
      </c>
      <c r="AZ68" s="73">
        <f t="shared" si="55"/>
        <v>159734</v>
      </c>
      <c r="BA68" s="73">
        <f t="shared" si="55"/>
        <v>80393.70240000001</v>
      </c>
      <c r="BB68" s="73">
        <f t="shared" si="55"/>
        <v>1003898</v>
      </c>
      <c r="BC68" s="73">
        <f t="shared" si="55"/>
        <v>380772.667612</v>
      </c>
      <c r="BD68" s="73">
        <f t="shared" si="55"/>
        <v>177214</v>
      </c>
      <c r="BE68" s="73">
        <f t="shared" si="55"/>
        <v>141095</v>
      </c>
      <c r="BF68" s="73">
        <f t="shared" si="55"/>
        <v>1529245</v>
      </c>
      <c r="BG68" s="73">
        <f t="shared" si="55"/>
        <v>457739.551644</v>
      </c>
      <c r="BH68" s="73">
        <f t="shared" si="55"/>
        <v>145560</v>
      </c>
      <c r="BI68" s="73">
        <f t="shared" si="55"/>
        <v>614503</v>
      </c>
      <c r="BJ68" s="73">
        <f t="shared" si="55"/>
        <v>1921896</v>
      </c>
      <c r="BK68" s="73">
        <f t="shared" si="55"/>
        <v>473137.499906</v>
      </c>
      <c r="BL68" s="73">
        <f t="shared" si="55"/>
        <v>213366</v>
      </c>
      <c r="BM68" s="73">
        <f t="shared" si="55"/>
        <v>387449</v>
      </c>
      <c r="BN68" s="73">
        <f aca="true" t="shared" si="56" ref="BN68:BU68">SUM(BN59:BN63)</f>
        <v>1587876</v>
      </c>
      <c r="BO68" s="73">
        <f t="shared" si="56"/>
        <v>400068</v>
      </c>
      <c r="BP68" s="73">
        <f t="shared" si="56"/>
        <v>207469</v>
      </c>
      <c r="BQ68" s="73">
        <f t="shared" si="56"/>
        <v>361494</v>
      </c>
      <c r="BR68" s="73">
        <f t="shared" si="56"/>
        <v>958553</v>
      </c>
      <c r="BS68" s="73">
        <f t="shared" si="56"/>
        <v>333299</v>
      </c>
      <c r="BT68" s="73">
        <f t="shared" si="56"/>
        <v>216316</v>
      </c>
      <c r="BU68" s="73">
        <f t="shared" si="56"/>
        <v>251760</v>
      </c>
      <c r="BV68" s="73">
        <f aca="true" t="shared" si="57" ref="BV68:CC68">SUM(BV59:BV63)</f>
        <v>1316263</v>
      </c>
      <c r="BW68" s="73">
        <f t="shared" si="57"/>
        <v>463086.48</v>
      </c>
      <c r="BX68" s="73">
        <f t="shared" si="57"/>
        <v>282762</v>
      </c>
      <c r="BY68" s="73">
        <f t="shared" si="57"/>
        <v>287921</v>
      </c>
      <c r="BZ68" s="73">
        <f t="shared" si="57"/>
        <v>1288243</v>
      </c>
      <c r="CA68" s="73">
        <f t="shared" si="57"/>
        <v>372894.43000000005</v>
      </c>
      <c r="CB68" s="73">
        <f t="shared" si="57"/>
        <v>222072</v>
      </c>
      <c r="CC68" s="73">
        <f t="shared" si="57"/>
        <v>312350</v>
      </c>
      <c r="CD68" s="73">
        <f>SUM(CD59:CD63)</f>
        <v>963836</v>
      </c>
      <c r="CE68" s="73">
        <f>SUM(CE59:CE63)</f>
        <v>445296.91000000003</v>
      </c>
      <c r="CF68" s="73">
        <f>SUM(CF59:CF63)</f>
        <v>215694</v>
      </c>
      <c r="CG68" s="73">
        <f>SUM(CG59:CG63)</f>
        <v>315868</v>
      </c>
      <c r="CH68" s="73">
        <f aca="true" t="shared" si="58" ref="CH68:CO68">SUM(CH59:CH63)</f>
        <v>1210377</v>
      </c>
      <c r="CI68" s="73">
        <f t="shared" si="58"/>
        <v>656068.33</v>
      </c>
      <c r="CJ68" s="73">
        <f t="shared" si="58"/>
        <v>165746</v>
      </c>
      <c r="CK68" s="73">
        <f t="shared" si="58"/>
        <v>486462</v>
      </c>
      <c r="CL68" s="73">
        <f t="shared" si="58"/>
        <v>1412270</v>
      </c>
      <c r="CM68" s="73">
        <f t="shared" si="58"/>
        <v>417610.54</v>
      </c>
      <c r="CN68" s="73">
        <f t="shared" si="58"/>
        <v>229246</v>
      </c>
      <c r="CO68" s="73">
        <f t="shared" si="58"/>
        <v>844062</v>
      </c>
    </row>
    <row r="69" spans="1:93" s="74" customFormat="1" ht="21.75" customHeight="1" hidden="1" thickBot="1">
      <c r="A69" s="25" t="s">
        <v>87</v>
      </c>
      <c r="B69" s="75">
        <f>B68/B65</f>
        <v>0.3408235749539693</v>
      </c>
      <c r="C69" s="75">
        <f aca="true" t="shared" si="59" ref="C69:BM69">C68/C65</f>
        <v>0.4447301420117424</v>
      </c>
      <c r="D69" s="75">
        <f t="shared" si="59"/>
        <v>0.8234483002457264</v>
      </c>
      <c r="E69" s="75">
        <f t="shared" si="59"/>
        <v>0.13629858686500873</v>
      </c>
      <c r="F69" s="75">
        <f t="shared" si="59"/>
        <v>0.2652384650149235</v>
      </c>
      <c r="G69" s="75">
        <f t="shared" si="59"/>
        <v>0.5060067332045532</v>
      </c>
      <c r="H69" s="75">
        <f t="shared" si="59"/>
        <v>0.7149507783327675</v>
      </c>
      <c r="I69" s="75">
        <f t="shared" si="59"/>
        <v>0.33000881562744877</v>
      </c>
      <c r="J69" s="75">
        <f t="shared" si="59"/>
        <v>0.3299187863655351</v>
      </c>
      <c r="K69" s="75">
        <f t="shared" si="59"/>
        <v>0.45046020692683675</v>
      </c>
      <c r="L69" s="75">
        <f t="shared" si="59"/>
        <v>0.7546756620737497</v>
      </c>
      <c r="M69" s="75">
        <f t="shared" si="59"/>
        <v>0.1881856221597727</v>
      </c>
      <c r="N69" s="75">
        <f t="shared" si="59"/>
        <v>0.34215238836634687</v>
      </c>
      <c r="O69" s="75">
        <f t="shared" si="59"/>
        <v>0.4608598055730058</v>
      </c>
      <c r="P69" s="75">
        <f t="shared" si="59"/>
        <v>0.6779214180429551</v>
      </c>
      <c r="Q69" s="75">
        <f t="shared" si="59"/>
        <v>0.28596692577541655</v>
      </c>
      <c r="R69" s="75">
        <f t="shared" si="59"/>
        <v>0.3906200626780838</v>
      </c>
      <c r="S69" s="75">
        <f t="shared" si="59"/>
        <v>0.4294581436281393</v>
      </c>
      <c r="T69" s="75">
        <f t="shared" si="59"/>
        <v>0.6608689256676934</v>
      </c>
      <c r="U69" s="75">
        <f t="shared" si="59"/>
        <v>0.2991816664247351</v>
      </c>
      <c r="V69" s="75">
        <f t="shared" si="59"/>
        <v>0.3750951071568047</v>
      </c>
      <c r="W69" s="75">
        <f t="shared" si="59"/>
        <v>0.603707062665197</v>
      </c>
      <c r="X69" s="75">
        <f t="shared" si="59"/>
        <v>0.7050658846215652</v>
      </c>
      <c r="Y69" s="75">
        <f t="shared" si="59"/>
        <v>0.20236926890922063</v>
      </c>
      <c r="Z69" s="75">
        <f t="shared" si="59"/>
        <v>0.26857628566021163</v>
      </c>
      <c r="AA69" s="75">
        <f t="shared" si="59"/>
        <v>0.3685337088983136</v>
      </c>
      <c r="AB69" s="75">
        <f t="shared" si="59"/>
        <v>0.9368710550255963</v>
      </c>
      <c r="AC69" s="75">
        <f t="shared" si="59"/>
        <v>0.2857401977857466</v>
      </c>
      <c r="AD69" s="75">
        <f t="shared" si="59"/>
        <v>0.26851427937167527</v>
      </c>
      <c r="AE69" s="75">
        <f t="shared" si="59"/>
        <v>0.34572338154679016</v>
      </c>
      <c r="AF69" s="75">
        <f t="shared" si="59"/>
        <v>0.9381285458925934</v>
      </c>
      <c r="AG69" s="75">
        <f t="shared" si="59"/>
        <v>0.1212393141255929</v>
      </c>
      <c r="AH69" s="75">
        <f t="shared" si="59"/>
        <v>0.29058526829005493</v>
      </c>
      <c r="AI69" s="75">
        <f t="shared" si="59"/>
        <v>0.383033998989879</v>
      </c>
      <c r="AJ69" s="75">
        <f t="shared" si="59"/>
        <v>0.9537826107447825</v>
      </c>
      <c r="AK69" s="75">
        <f t="shared" si="59"/>
        <v>0.14421029326512716</v>
      </c>
      <c r="AL69" s="75">
        <f t="shared" si="59"/>
        <v>0.31835149091422443</v>
      </c>
      <c r="AM69" s="75">
        <f t="shared" si="59"/>
        <v>0.45361008627697563</v>
      </c>
      <c r="AN69" s="75">
        <f t="shared" si="59"/>
        <v>0.879554870120052</v>
      </c>
      <c r="AO69" s="75">
        <f t="shared" si="59"/>
        <v>0.03596689997321094</v>
      </c>
      <c r="AP69" s="75">
        <f t="shared" si="59"/>
        <v>0.30915486288493405</v>
      </c>
      <c r="AQ69" s="75">
        <f t="shared" si="59"/>
        <v>0.47150702977701825</v>
      </c>
      <c r="AR69" s="75">
        <f t="shared" si="59"/>
        <v>0.8321714624740433</v>
      </c>
      <c r="AS69" s="75">
        <f t="shared" si="59"/>
        <v>0.15972772154981413</v>
      </c>
      <c r="AT69" s="75">
        <f t="shared" si="59"/>
        <v>0.2870996113267648</v>
      </c>
      <c r="AU69" s="75">
        <f t="shared" si="59"/>
        <v>0.5398957634294569</v>
      </c>
      <c r="AV69" s="75">
        <f t="shared" si="59"/>
        <v>0.7500991847652201</v>
      </c>
      <c r="AW69" s="75">
        <f t="shared" si="59"/>
        <v>0.29346484690711855</v>
      </c>
      <c r="AX69" s="75">
        <f t="shared" si="59"/>
        <v>0.2807839763431124</v>
      </c>
      <c r="AY69" s="75">
        <f t="shared" si="59"/>
        <v>0.5385969136766694</v>
      </c>
      <c r="AZ69" s="75">
        <f t="shared" si="59"/>
        <v>0.7088199794099898</v>
      </c>
      <c r="BA69" s="75">
        <f t="shared" si="59"/>
        <v>0.13195504261760868</v>
      </c>
      <c r="BB69" s="75">
        <f t="shared" si="59"/>
        <v>0.310827622379138</v>
      </c>
      <c r="BC69" s="75">
        <f t="shared" si="59"/>
        <v>0.6121024836285966</v>
      </c>
      <c r="BD69" s="75">
        <f t="shared" si="59"/>
        <v>0.8663560676799429</v>
      </c>
      <c r="BE69" s="75">
        <f t="shared" si="59"/>
        <v>0.17515927520471147</v>
      </c>
      <c r="BF69" s="75">
        <f t="shared" si="59"/>
        <v>0.4374925081755652</v>
      </c>
      <c r="BG69" s="75">
        <f t="shared" si="59"/>
        <v>0.6599222511190396</v>
      </c>
      <c r="BH69" s="75">
        <f t="shared" si="59"/>
        <v>0.5251593769955948</v>
      </c>
      <c r="BI69" s="75">
        <f t="shared" si="59"/>
        <v>0.35463294371030235</v>
      </c>
      <c r="BJ69" s="75">
        <f t="shared" si="59"/>
        <v>0.5175771661251382</v>
      </c>
      <c r="BK69" s="75">
        <f t="shared" si="59"/>
        <v>0.6499152199727557</v>
      </c>
      <c r="BL69" s="75">
        <f t="shared" si="59"/>
        <v>0.5847534271353478</v>
      </c>
      <c r="BM69" s="75">
        <f t="shared" si="59"/>
        <v>0.3204443970262154</v>
      </c>
      <c r="BN69" s="75">
        <f aca="true" t="shared" si="60" ref="BN69:BU69">BN68/BN65</f>
        <v>0.46135541581451134</v>
      </c>
      <c r="BO69" s="75">
        <f t="shared" si="60"/>
        <v>0.6107162483971423</v>
      </c>
      <c r="BP69" s="75">
        <f t="shared" si="60"/>
        <v>0.5554101011398986</v>
      </c>
      <c r="BQ69" s="75">
        <f t="shared" si="60"/>
        <v>0.29435800390203865</v>
      </c>
      <c r="BR69" s="75">
        <f t="shared" si="60"/>
        <v>0.34651675027555323</v>
      </c>
      <c r="BS69" s="75">
        <f t="shared" si="60"/>
        <v>0.5954372895284544</v>
      </c>
      <c r="BT69" s="75">
        <f t="shared" si="60"/>
        <v>0.5322893392521433</v>
      </c>
      <c r="BU69" s="75">
        <f t="shared" si="60"/>
        <v>0.18761429672211533</v>
      </c>
      <c r="BV69" s="75">
        <f aca="true" t="shared" si="61" ref="BV69:CC69">BV68/BV65</f>
        <v>0.41373833450158576</v>
      </c>
      <c r="BW69" s="75">
        <f t="shared" si="61"/>
        <v>0.6738438834644723</v>
      </c>
      <c r="BX69" s="75">
        <f t="shared" si="61"/>
        <v>0.6877862613987678</v>
      </c>
      <c r="BY69" s="75">
        <f t="shared" si="61"/>
        <v>0.2593116628599837</v>
      </c>
      <c r="BZ69" s="75">
        <f t="shared" si="61"/>
        <v>0.4366715229300827</v>
      </c>
      <c r="CA69" s="75">
        <f t="shared" si="61"/>
        <v>0.5465599364321806</v>
      </c>
      <c r="CB69" s="75">
        <f t="shared" si="61"/>
        <v>0.531310859631074</v>
      </c>
      <c r="CC69" s="75">
        <f t="shared" si="61"/>
        <v>0.22213893444430063</v>
      </c>
      <c r="CD69" s="75">
        <f>CD68/CD65</f>
        <v>0.38411869214821853</v>
      </c>
      <c r="CE69" s="75">
        <f>CE68/CE65</f>
        <v>0.6362918619149343</v>
      </c>
      <c r="CF69" s="75">
        <f>CF68/CF65</f>
        <v>0.7276757249127068</v>
      </c>
      <c r="CG69" s="75">
        <f>CG68/CG65</f>
        <v>0.20410434090364252</v>
      </c>
      <c r="CH69" s="75">
        <f aca="true" t="shared" si="62" ref="CH69:CO69">CH68/CH65</f>
        <v>0.4953894021325396</v>
      </c>
      <c r="CI69" s="75">
        <f t="shared" si="62"/>
        <v>0.72696598582349</v>
      </c>
      <c r="CJ69" s="75">
        <f t="shared" si="62"/>
        <v>0.6076423640516334</v>
      </c>
      <c r="CK69" s="75">
        <f t="shared" si="62"/>
        <v>0.21706675067411965</v>
      </c>
      <c r="CL69" s="75">
        <f t="shared" si="62"/>
        <v>0.4683698538912369</v>
      </c>
      <c r="CM69" s="75">
        <f t="shared" si="62"/>
        <v>0.6674560968497826</v>
      </c>
      <c r="CN69" s="75">
        <f t="shared" si="62"/>
        <v>0.5689333399513575</v>
      </c>
      <c r="CO69" s="75">
        <f t="shared" si="62"/>
        <v>0.3995308224381613</v>
      </c>
    </row>
    <row r="70" spans="1:93" ht="15.75" customHeight="1" thickBot="1" thickTop="1">
      <c r="A70" s="10" t="s">
        <v>72</v>
      </c>
      <c r="B70" s="69"/>
      <c r="C70" s="70"/>
      <c r="D70" s="70"/>
      <c r="E70" s="71"/>
      <c r="F70" s="69"/>
      <c r="G70" s="70"/>
      <c r="H70" s="70"/>
      <c r="I70" s="71"/>
      <c r="J70" s="69"/>
      <c r="K70" s="70"/>
      <c r="L70" s="70"/>
      <c r="M70" s="71"/>
      <c r="N70" s="69"/>
      <c r="O70" s="70"/>
      <c r="P70" s="70"/>
      <c r="Q70" s="71"/>
      <c r="R70" s="69"/>
      <c r="S70" s="70"/>
      <c r="T70" s="70"/>
      <c r="U70" s="71"/>
      <c r="V70" s="69"/>
      <c r="W70" s="70"/>
      <c r="X70" s="70"/>
      <c r="Y70" s="71"/>
      <c r="Z70" s="69"/>
      <c r="AA70" s="70"/>
      <c r="AB70" s="70"/>
      <c r="AC70" s="71"/>
      <c r="AD70" s="69"/>
      <c r="AE70" s="70"/>
      <c r="AF70" s="70"/>
      <c r="AG70" s="71"/>
      <c r="AH70" s="69"/>
      <c r="AI70" s="70"/>
      <c r="AJ70" s="70"/>
      <c r="AK70" s="71"/>
      <c r="AL70" s="69"/>
      <c r="AM70" s="70"/>
      <c r="AN70" s="70"/>
      <c r="AO70" s="71"/>
      <c r="AP70" s="69"/>
      <c r="AQ70" s="70"/>
      <c r="AR70" s="70"/>
      <c r="AS70" s="71"/>
      <c r="AT70" s="69"/>
      <c r="AU70" s="70"/>
      <c r="AV70" s="70"/>
      <c r="AW70" s="71"/>
      <c r="AX70" s="69"/>
      <c r="AY70" s="70"/>
      <c r="AZ70" s="70"/>
      <c r="BA70" s="71"/>
      <c r="BB70" s="69"/>
      <c r="BC70" s="70"/>
      <c r="BD70" s="70"/>
      <c r="BE70" s="71"/>
      <c r="BF70" s="69"/>
      <c r="BG70" s="70"/>
      <c r="BH70" s="70"/>
      <c r="BI70" s="71"/>
      <c r="BJ70" s="69"/>
      <c r="BK70" s="70"/>
      <c r="BL70" s="70"/>
      <c r="BM70" s="72"/>
      <c r="BN70" s="69"/>
      <c r="BO70" s="70"/>
      <c r="BP70" s="70"/>
      <c r="BQ70" s="72"/>
      <c r="BR70" s="69"/>
      <c r="BS70" s="70"/>
      <c r="BT70" s="70"/>
      <c r="BU70" s="72"/>
      <c r="BV70" s="69"/>
      <c r="BW70" s="70"/>
      <c r="BX70" s="70"/>
      <c r="BY70" s="72"/>
      <c r="BZ70" s="69"/>
      <c r="CA70" s="70"/>
      <c r="CB70" s="70"/>
      <c r="CC70" s="72"/>
      <c r="CD70" s="69"/>
      <c r="CE70" s="70"/>
      <c r="CF70" s="70"/>
      <c r="CG70" s="72"/>
      <c r="CH70" s="69"/>
      <c r="CI70" s="70"/>
      <c r="CJ70" s="70"/>
      <c r="CK70" s="72"/>
      <c r="CL70" s="69"/>
      <c r="CM70" s="70"/>
      <c r="CN70" s="70"/>
      <c r="CO70" s="72"/>
    </row>
    <row r="71" spans="1:93" s="2" customFormat="1" ht="11.25">
      <c r="A71" s="20" t="s">
        <v>35</v>
      </c>
      <c r="B71" s="57"/>
      <c r="C71" s="58">
        <f>36259*2.2046</f>
        <v>79936.5914</v>
      </c>
      <c r="D71" s="58">
        <f>991*2.2046</f>
        <v>2184.7586</v>
      </c>
      <c r="E71" s="59">
        <f>21071*2.2046</f>
        <v>46453.1266</v>
      </c>
      <c r="F71" s="57"/>
      <c r="G71" s="58">
        <f>31874*2.2046</f>
        <v>70269.4204</v>
      </c>
      <c r="H71" s="58">
        <v>2065</v>
      </c>
      <c r="I71" s="59">
        <v>3387</v>
      </c>
      <c r="J71" s="57"/>
      <c r="K71" s="58">
        <f>31670*2.2046</f>
        <v>69819.682</v>
      </c>
      <c r="L71" s="58">
        <f>5648*2.2046</f>
        <v>12451.580800000002</v>
      </c>
      <c r="M71" s="59">
        <v>59709</v>
      </c>
      <c r="N71" s="57"/>
      <c r="O71" s="58">
        <f>38725*2.2046</f>
        <v>85373.13500000001</v>
      </c>
      <c r="P71" s="58">
        <f>2285*2.2046</f>
        <v>5037.511</v>
      </c>
      <c r="Q71" s="59">
        <f>114195*2.2046</f>
        <v>251754.29700000002</v>
      </c>
      <c r="R71" s="57"/>
      <c r="S71" s="58">
        <f>52469*2.2046</f>
        <v>115673.15740000001</v>
      </c>
      <c r="T71" s="58">
        <v>6455</v>
      </c>
      <c r="U71" s="59">
        <v>201886</v>
      </c>
      <c r="V71" s="57"/>
      <c r="W71" s="58">
        <f>72405*2.2046</f>
        <v>159624.063</v>
      </c>
      <c r="X71" s="58">
        <v>14783</v>
      </c>
      <c r="Y71" s="59">
        <v>150202</v>
      </c>
      <c r="Z71" s="57"/>
      <c r="AA71" s="58">
        <f>77256*2.2046</f>
        <v>170318.57760000002</v>
      </c>
      <c r="AB71" s="58">
        <f>17557*2.2046</f>
        <v>38706.1622</v>
      </c>
      <c r="AC71" s="59">
        <v>234727</v>
      </c>
      <c r="AD71" s="57"/>
      <c r="AE71" s="58">
        <f>109479*2.2046</f>
        <v>241357.4034</v>
      </c>
      <c r="AF71" s="58">
        <v>41617</v>
      </c>
      <c r="AG71" s="59">
        <v>135201</v>
      </c>
      <c r="AH71" s="57"/>
      <c r="AI71" s="58">
        <f>86166*2.2046</f>
        <v>189961.56360000002</v>
      </c>
      <c r="AJ71" s="58">
        <v>56823</v>
      </c>
      <c r="AK71" s="59">
        <v>85210</v>
      </c>
      <c r="AL71" s="57"/>
      <c r="AM71" s="58">
        <f>82513*2.2046</f>
        <v>181908.15980000002</v>
      </c>
      <c r="AN71" s="58">
        <v>45250</v>
      </c>
      <c r="AO71" s="59">
        <v>51659</v>
      </c>
      <c r="AP71" s="57"/>
      <c r="AQ71" s="58">
        <f>74245*2.2046</f>
        <v>163680.527</v>
      </c>
      <c r="AR71" s="58">
        <v>61850</v>
      </c>
      <c r="AS71" s="59">
        <v>124211</v>
      </c>
      <c r="AT71" s="57"/>
      <c r="AU71" s="58">
        <f>87277*2.2046</f>
        <v>192410.87420000002</v>
      </c>
      <c r="AV71" s="58">
        <v>87386</v>
      </c>
      <c r="AW71" s="59">
        <v>83086</v>
      </c>
      <c r="AX71" s="57"/>
      <c r="AY71" s="58">
        <f>61111*2.2046</f>
        <v>134725.3106</v>
      </c>
      <c r="AZ71" s="58">
        <v>26053</v>
      </c>
      <c r="BA71" s="59">
        <f>41242*2.2046</f>
        <v>90922.1132</v>
      </c>
      <c r="BB71" s="57"/>
      <c r="BC71" s="58">
        <f>33785*2.2046</f>
        <v>74482.41100000001</v>
      </c>
      <c r="BD71" s="58">
        <v>55933</v>
      </c>
      <c r="BE71" s="59">
        <v>98190</v>
      </c>
      <c r="BF71" s="57"/>
      <c r="BG71" s="58">
        <f>28528*2.2046</f>
        <v>62892.8288</v>
      </c>
      <c r="BH71" s="58">
        <v>20639</v>
      </c>
      <c r="BI71" s="59">
        <v>71001</v>
      </c>
      <c r="BJ71" s="57"/>
      <c r="BK71" s="58">
        <f>29031*2.2046</f>
        <v>64001.742600000005</v>
      </c>
      <c r="BL71" s="58">
        <f>15548*2.2046</f>
        <v>34277.120800000004</v>
      </c>
      <c r="BM71" s="60">
        <f>47212*2.2046</f>
        <v>104083.5752</v>
      </c>
      <c r="BN71" s="57">
        <v>0</v>
      </c>
      <c r="BO71" s="58">
        <v>98340</v>
      </c>
      <c r="BP71" s="58">
        <v>48404</v>
      </c>
      <c r="BQ71" s="60">
        <v>112245</v>
      </c>
      <c r="BR71" s="57">
        <v>0</v>
      </c>
      <c r="BS71" s="58">
        <v>81680</v>
      </c>
      <c r="BT71" s="58">
        <v>43012</v>
      </c>
      <c r="BU71" s="153">
        <v>123620</v>
      </c>
      <c r="BV71" s="113">
        <v>0</v>
      </c>
      <c r="BW71" s="114">
        <v>149479.75</v>
      </c>
      <c r="BX71" s="177">
        <v>60342</v>
      </c>
      <c r="BY71" s="178">
        <v>158989</v>
      </c>
      <c r="BZ71" s="57">
        <v>0</v>
      </c>
      <c r="CA71" s="58">
        <v>74927.6</v>
      </c>
      <c r="CB71" s="159">
        <v>42414</v>
      </c>
      <c r="CC71" s="153">
        <v>238122</v>
      </c>
      <c r="CD71" s="113">
        <v>0</v>
      </c>
      <c r="CE71" s="114">
        <v>82523.12</v>
      </c>
      <c r="CF71" s="177">
        <v>35280</v>
      </c>
      <c r="CG71" s="179">
        <v>173213</v>
      </c>
      <c r="CH71" s="113">
        <v>0</v>
      </c>
      <c r="CI71" s="114">
        <v>133343.44</v>
      </c>
      <c r="CJ71" s="177">
        <v>109207</v>
      </c>
      <c r="CK71" s="179">
        <v>267656</v>
      </c>
      <c r="CL71" s="113">
        <v>0</v>
      </c>
      <c r="CM71" s="114">
        <v>90623.76</v>
      </c>
      <c r="CN71" s="177">
        <v>37734</v>
      </c>
      <c r="CO71" s="179">
        <v>365966</v>
      </c>
    </row>
    <row r="72" spans="1:93" s="52" customFormat="1" ht="12.75" customHeight="1">
      <c r="A72" s="14" t="s">
        <v>36</v>
      </c>
      <c r="B72" s="48"/>
      <c r="C72" s="49">
        <f>2272.37*2.2046</f>
        <v>5009.666902</v>
      </c>
      <c r="D72" s="49">
        <v>1929</v>
      </c>
      <c r="E72" s="50">
        <v>0</v>
      </c>
      <c r="F72" s="48"/>
      <c r="G72" s="49">
        <f>2886.24*2.2046</f>
        <v>6363.004704</v>
      </c>
      <c r="H72" s="49">
        <v>381</v>
      </c>
      <c r="I72" s="50">
        <v>9570</v>
      </c>
      <c r="J72" s="48"/>
      <c r="K72" s="49">
        <f>1235.83*2.2046</f>
        <v>2724.510818</v>
      </c>
      <c r="L72" s="49">
        <v>234</v>
      </c>
      <c r="M72" s="50">
        <v>11850</v>
      </c>
      <c r="N72" s="48"/>
      <c r="O72" s="49">
        <f>3051.92*2.2046</f>
        <v>6728.262832</v>
      </c>
      <c r="P72" s="49">
        <v>4888</v>
      </c>
      <c r="Q72" s="50">
        <v>0</v>
      </c>
      <c r="R72" s="48"/>
      <c r="S72" s="49">
        <f>2318.82*2.2046</f>
        <v>5112.0705720000005</v>
      </c>
      <c r="T72" s="49">
        <v>0</v>
      </c>
      <c r="U72" s="50">
        <v>0</v>
      </c>
      <c r="V72" s="48"/>
      <c r="W72" s="49">
        <f>2269.96*2.2046</f>
        <v>5004.353816000001</v>
      </c>
      <c r="X72" s="49">
        <v>0</v>
      </c>
      <c r="Y72" s="50">
        <v>0</v>
      </c>
      <c r="Z72" s="48"/>
      <c r="AA72" s="49">
        <f>1365.19*2.2046</f>
        <v>3009.6978740000004</v>
      </c>
      <c r="AB72" s="49">
        <v>0</v>
      </c>
      <c r="AC72" s="50">
        <v>9879</v>
      </c>
      <c r="AD72" s="48"/>
      <c r="AE72" s="49">
        <f>2726.55*2.2046</f>
        <v>6010.952130000001</v>
      </c>
      <c r="AF72" s="49">
        <v>11045</v>
      </c>
      <c r="AG72" s="50">
        <v>41081</v>
      </c>
      <c r="AH72" s="48"/>
      <c r="AI72" s="49">
        <f>1117.05*2.2046</f>
        <v>2462.64843</v>
      </c>
      <c r="AJ72" s="49">
        <v>0</v>
      </c>
      <c r="AK72" s="50">
        <v>23305</v>
      </c>
      <c r="AL72" s="48"/>
      <c r="AM72" s="49">
        <f>2432.86*2.2046</f>
        <v>5363.483156</v>
      </c>
      <c r="AN72" s="49">
        <v>0</v>
      </c>
      <c r="AO72" s="50">
        <v>53488</v>
      </c>
      <c r="AP72" s="48"/>
      <c r="AQ72" s="49">
        <f>1057.49*2.2046</f>
        <v>2331.342454</v>
      </c>
      <c r="AR72" s="49">
        <v>0</v>
      </c>
      <c r="AS72" s="50">
        <v>6398</v>
      </c>
      <c r="AT72" s="48"/>
      <c r="AU72" s="49">
        <f>1712.46*2.2046</f>
        <v>3775.2893160000003</v>
      </c>
      <c r="AV72" s="49">
        <v>46264</v>
      </c>
      <c r="AW72" s="50">
        <v>55007</v>
      </c>
      <c r="AX72" s="48"/>
      <c r="AY72" s="49">
        <f>401.28*2.2046</f>
        <v>884.661888</v>
      </c>
      <c r="AZ72" s="49">
        <v>29129</v>
      </c>
      <c r="BA72" s="50">
        <v>13635</v>
      </c>
      <c r="BB72" s="48"/>
      <c r="BC72" s="49">
        <f>112.20462*2.2046</f>
        <v>247.36630525200002</v>
      </c>
      <c r="BD72" s="49">
        <v>2086</v>
      </c>
      <c r="BE72" s="50">
        <v>7595</v>
      </c>
      <c r="BF72" s="48"/>
      <c r="BG72" s="49">
        <f>314.03*2.2046</f>
        <v>692.310538</v>
      </c>
      <c r="BH72" s="49">
        <v>366</v>
      </c>
      <c r="BI72" s="50">
        <v>13214</v>
      </c>
      <c r="BJ72" s="48"/>
      <c r="BK72" s="49">
        <f>741.9*2.2046</f>
        <v>1635.59274</v>
      </c>
      <c r="BL72" s="49">
        <v>1874</v>
      </c>
      <c r="BM72" s="51">
        <v>1122</v>
      </c>
      <c r="BN72" s="48">
        <v>0</v>
      </c>
      <c r="BO72" s="49">
        <v>1052</v>
      </c>
      <c r="BP72" s="49">
        <v>1825</v>
      </c>
      <c r="BQ72" s="51">
        <v>23481</v>
      </c>
      <c r="BR72" s="48">
        <v>0</v>
      </c>
      <c r="BS72" s="49">
        <v>514</v>
      </c>
      <c r="BT72" s="49">
        <v>0</v>
      </c>
      <c r="BU72" s="120">
        <v>5000</v>
      </c>
      <c r="BV72" s="116">
        <v>0</v>
      </c>
      <c r="BW72" s="49">
        <v>1091.2</v>
      </c>
      <c r="BX72" s="159">
        <v>1261</v>
      </c>
      <c r="BY72" s="50">
        <v>0</v>
      </c>
      <c r="BZ72" s="48">
        <v>0</v>
      </c>
      <c r="CA72" s="49">
        <v>1133.14</v>
      </c>
      <c r="CB72" s="159">
        <v>1202</v>
      </c>
      <c r="CC72" s="186">
        <v>4378</v>
      </c>
      <c r="CD72" s="116">
        <v>0</v>
      </c>
      <c r="CE72" s="49">
        <v>1266.49</v>
      </c>
      <c r="CF72" s="159">
        <v>1448</v>
      </c>
      <c r="CG72" s="173">
        <v>51</v>
      </c>
      <c r="CH72" s="116">
        <v>0</v>
      </c>
      <c r="CI72" s="49">
        <v>269.68</v>
      </c>
      <c r="CJ72" s="159">
        <v>871</v>
      </c>
      <c r="CK72" s="172">
        <v>6254</v>
      </c>
      <c r="CL72" s="116">
        <v>0</v>
      </c>
      <c r="CM72" s="49">
        <v>468.02</v>
      </c>
      <c r="CN72" s="159">
        <v>205</v>
      </c>
      <c r="CO72" s="172">
        <v>7690</v>
      </c>
    </row>
    <row r="73" spans="1:93" s="52" customFormat="1" ht="12" customHeight="1">
      <c r="A73" s="14" t="s">
        <v>61</v>
      </c>
      <c r="B73" s="48"/>
      <c r="C73" s="49">
        <f>921.15*2.2046</f>
        <v>2030.76729</v>
      </c>
      <c r="D73" s="49">
        <v>0</v>
      </c>
      <c r="E73" s="50">
        <v>2879</v>
      </c>
      <c r="F73" s="48"/>
      <c r="G73" s="49">
        <f>1509.53*2.2046</f>
        <v>3327.909838</v>
      </c>
      <c r="H73" s="49">
        <v>0</v>
      </c>
      <c r="I73" s="50">
        <v>785</v>
      </c>
      <c r="J73" s="48"/>
      <c r="K73" s="49">
        <f>1364.15*2.2046</f>
        <v>3007.40509</v>
      </c>
      <c r="L73" s="49">
        <v>3693</v>
      </c>
      <c r="M73" s="50">
        <v>3494</v>
      </c>
      <c r="N73" s="48"/>
      <c r="O73" s="49">
        <f>733.1*2.2046</f>
        <v>1616.19226</v>
      </c>
      <c r="P73" s="49">
        <v>0</v>
      </c>
      <c r="Q73" s="50">
        <v>19557</v>
      </c>
      <c r="R73" s="48"/>
      <c r="S73" s="49">
        <f>1193.75*2.2046</f>
        <v>2631.74125</v>
      </c>
      <c r="T73" s="49">
        <v>0</v>
      </c>
      <c r="U73" s="50">
        <v>7379</v>
      </c>
      <c r="V73" s="48"/>
      <c r="W73" s="49">
        <f>1299.33*2.2046</f>
        <v>2864.502918</v>
      </c>
      <c r="X73" s="49">
        <v>0</v>
      </c>
      <c r="Y73" s="50">
        <v>0</v>
      </c>
      <c r="Z73" s="48"/>
      <c r="AA73" s="49">
        <f>3275.05*2.2046</f>
        <v>7220.175230000001</v>
      </c>
      <c r="AB73" s="49">
        <v>309</v>
      </c>
      <c r="AC73" s="50">
        <v>3267</v>
      </c>
      <c r="AD73" s="48"/>
      <c r="AE73" s="49">
        <f>2859.04*2.2046</f>
        <v>6303.039584</v>
      </c>
      <c r="AF73" s="49">
        <v>179</v>
      </c>
      <c r="AG73" s="50">
        <v>6336</v>
      </c>
      <c r="AH73" s="48"/>
      <c r="AI73" s="49">
        <f>2669.9*2.2046</f>
        <v>5886.061540000001</v>
      </c>
      <c r="AJ73" s="49">
        <v>183</v>
      </c>
      <c r="AK73" s="50">
        <v>0</v>
      </c>
      <c r="AL73" s="48"/>
      <c r="AM73" s="49">
        <f>5439.42*2.2046</f>
        <v>11991.745332</v>
      </c>
      <c r="AN73" s="49">
        <v>0</v>
      </c>
      <c r="AO73" s="50">
        <v>0</v>
      </c>
      <c r="AP73" s="48"/>
      <c r="AQ73" s="49">
        <f>4544.47*2.2046</f>
        <v>10018.738562</v>
      </c>
      <c r="AR73" s="49">
        <v>434</v>
      </c>
      <c r="AS73" s="50">
        <v>0</v>
      </c>
      <c r="AT73" s="48"/>
      <c r="AU73" s="49">
        <f>3894.47*2.2046</f>
        <v>8585.748562</v>
      </c>
      <c r="AV73" s="49">
        <v>3964</v>
      </c>
      <c r="AW73" s="50">
        <v>3320</v>
      </c>
      <c r="AX73" s="48"/>
      <c r="AY73" s="49">
        <f>1961.55*2.2046</f>
        <v>4324.43313</v>
      </c>
      <c r="AZ73" s="49">
        <v>3018</v>
      </c>
      <c r="BA73" s="50">
        <v>7099</v>
      </c>
      <c r="BB73" s="48"/>
      <c r="BC73" s="49">
        <f>1324.08*2.2046</f>
        <v>2919.066768</v>
      </c>
      <c r="BD73" s="49">
        <v>1799</v>
      </c>
      <c r="BE73" s="50">
        <v>11726</v>
      </c>
      <c r="BF73" s="48"/>
      <c r="BG73" s="49">
        <v>2584</v>
      </c>
      <c r="BH73" s="49">
        <v>1960</v>
      </c>
      <c r="BI73" s="50">
        <v>3483</v>
      </c>
      <c r="BJ73" s="48"/>
      <c r="BK73" s="49">
        <f>1064.02*2.2046</f>
        <v>2345.738492</v>
      </c>
      <c r="BL73" s="49">
        <v>2253</v>
      </c>
      <c r="BM73" s="51">
        <v>0</v>
      </c>
      <c r="BN73" s="48">
        <v>0</v>
      </c>
      <c r="BO73" s="49">
        <v>2937</v>
      </c>
      <c r="BP73" s="49">
        <v>1010</v>
      </c>
      <c r="BQ73" s="51">
        <v>3179</v>
      </c>
      <c r="BR73" s="48">
        <v>0</v>
      </c>
      <c r="BS73" s="49">
        <v>1973</v>
      </c>
      <c r="BT73" s="49">
        <v>921</v>
      </c>
      <c r="BU73" s="120">
        <v>1698</v>
      </c>
      <c r="BV73" s="116">
        <v>0</v>
      </c>
      <c r="BW73" s="49">
        <v>2279.54</v>
      </c>
      <c r="BX73" s="162">
        <v>220</v>
      </c>
      <c r="BY73" s="185">
        <v>5419</v>
      </c>
      <c r="BZ73" s="48">
        <v>0</v>
      </c>
      <c r="CA73" s="49">
        <v>1182.67</v>
      </c>
      <c r="CB73" s="49">
        <v>0</v>
      </c>
      <c r="CC73" s="120">
        <v>49</v>
      </c>
      <c r="CD73" s="116">
        <v>0</v>
      </c>
      <c r="CE73" s="49">
        <v>1178.95</v>
      </c>
      <c r="CF73" s="162">
        <v>86</v>
      </c>
      <c r="CG73" s="50">
        <v>0</v>
      </c>
      <c r="CH73" s="116">
        <v>0</v>
      </c>
      <c r="CI73" s="49">
        <v>3405.18</v>
      </c>
      <c r="CJ73" s="161">
        <v>1484</v>
      </c>
      <c r="CK73" s="50">
        <v>198</v>
      </c>
      <c r="CL73" s="116">
        <v>0</v>
      </c>
      <c r="CM73" s="49">
        <v>643.94</v>
      </c>
      <c r="CN73" s="161">
        <v>146</v>
      </c>
      <c r="CO73" s="50">
        <v>0</v>
      </c>
    </row>
    <row r="74" spans="1:93" s="2" customFormat="1" ht="11.25">
      <c r="A74" s="13" t="s">
        <v>111</v>
      </c>
      <c r="B74" s="44">
        <v>19293</v>
      </c>
      <c r="C74" s="45">
        <f>3090.07*2.2046</f>
        <v>6812.368322</v>
      </c>
      <c r="D74" s="45">
        <v>646</v>
      </c>
      <c r="E74" s="46">
        <f>103283+191009</f>
        <v>294292</v>
      </c>
      <c r="F74" s="44">
        <v>21530</v>
      </c>
      <c r="G74" s="45">
        <f>1671.64*2.2046</f>
        <v>3685.2975440000005</v>
      </c>
      <c r="H74" s="45">
        <v>128</v>
      </c>
      <c r="I74" s="46">
        <f>231+36674+7502</f>
        <v>44407</v>
      </c>
      <c r="J74" s="44">
        <v>19801</v>
      </c>
      <c r="K74" s="45">
        <f>7011.52*2.2046</f>
        <v>15457.596992000003</v>
      </c>
      <c r="L74" s="45">
        <v>196</v>
      </c>
      <c r="M74" s="46">
        <f>1556+29731+54055</f>
        <v>85342</v>
      </c>
      <c r="N74" s="44">
        <v>22953</v>
      </c>
      <c r="O74" s="45">
        <f>20246.79*2.2046</f>
        <v>44636.073234</v>
      </c>
      <c r="P74" s="45">
        <v>0</v>
      </c>
      <c r="Q74" s="46">
        <f>2141+30961+28735</f>
        <v>61837</v>
      </c>
      <c r="R74" s="44">
        <v>16456</v>
      </c>
      <c r="S74" s="45">
        <f>1536.28*2.2046</f>
        <v>3386.882888</v>
      </c>
      <c r="T74" s="45">
        <v>46</v>
      </c>
      <c r="U74" s="46">
        <f>836+57500+4314</f>
        <v>62650</v>
      </c>
      <c r="V74" s="44">
        <v>30452</v>
      </c>
      <c r="W74" s="45">
        <f>1228.95*2.2046</f>
        <v>2709.34317</v>
      </c>
      <c r="X74" s="45">
        <v>0</v>
      </c>
      <c r="Y74" s="46">
        <f>1252+69110+112704</f>
        <v>183066</v>
      </c>
      <c r="Z74" s="44">
        <v>24137</v>
      </c>
      <c r="AA74" s="45">
        <f>1234.39*2.2046</f>
        <v>2721.3361940000004</v>
      </c>
      <c r="AB74" s="45">
        <v>16903</v>
      </c>
      <c r="AC74" s="46">
        <f>1746+79948+88427</f>
        <v>170121</v>
      </c>
      <c r="AD74" s="44">
        <v>27331</v>
      </c>
      <c r="AE74" s="45">
        <f>900.36*2.2046</f>
        <v>1984.9336560000002</v>
      </c>
      <c r="AF74" s="45">
        <v>0</v>
      </c>
      <c r="AG74" s="46">
        <f>1682+156690+160376</f>
        <v>318748</v>
      </c>
      <c r="AH74" s="44">
        <v>30689</v>
      </c>
      <c r="AI74" s="45">
        <f>696.64*2.2046</f>
        <v>1535.8125440000001</v>
      </c>
      <c r="AJ74" s="45">
        <v>0</v>
      </c>
      <c r="AK74" s="46">
        <f>1733+183504+9627</f>
        <v>194864</v>
      </c>
      <c r="AL74" s="44">
        <v>52404</v>
      </c>
      <c r="AM74" s="45">
        <f>1247.43*2.2046</f>
        <v>2750.084178</v>
      </c>
      <c r="AN74" s="45">
        <v>0</v>
      </c>
      <c r="AO74" s="46">
        <f>3102+201+145217+62800</f>
        <v>211320</v>
      </c>
      <c r="AP74" s="44">
        <v>62769</v>
      </c>
      <c r="AQ74" s="45">
        <f>232.54*2.2046</f>
        <v>512.657684</v>
      </c>
      <c r="AR74" s="45">
        <v>606</v>
      </c>
      <c r="AS74" s="46">
        <f>10227+298+240919+86841</f>
        <v>338285</v>
      </c>
      <c r="AT74" s="44">
        <v>66070</v>
      </c>
      <c r="AU74" s="45">
        <f>355.53*2.2046</f>
        <v>783.801438</v>
      </c>
      <c r="AV74" s="45">
        <v>0</v>
      </c>
      <c r="AW74" s="46">
        <f>357+143+169340+58909</f>
        <v>228749</v>
      </c>
      <c r="AX74" s="44">
        <v>44431</v>
      </c>
      <c r="AY74" s="45">
        <f>404.4*2.2046</f>
        <v>891.54024</v>
      </c>
      <c r="AZ74" s="45">
        <v>0</v>
      </c>
      <c r="BA74" s="46">
        <f>518+256+76453+104249</f>
        <v>181476</v>
      </c>
      <c r="BB74" s="44">
        <v>39152</v>
      </c>
      <c r="BC74" s="45">
        <f>307.44*2.2046</f>
        <v>677.782224</v>
      </c>
      <c r="BD74" s="45">
        <v>419</v>
      </c>
      <c r="BE74" s="46">
        <f>2440+1407+100929+81006</f>
        <v>185782</v>
      </c>
      <c r="BF74" s="44">
        <v>58128</v>
      </c>
      <c r="BG74" s="45">
        <f>329.73*2.2046</f>
        <v>726.922758</v>
      </c>
      <c r="BH74" s="45">
        <v>0</v>
      </c>
      <c r="BI74" s="46">
        <f>4211+765+139730+30194</f>
        <v>174900</v>
      </c>
      <c r="BJ74" s="44">
        <v>51379</v>
      </c>
      <c r="BK74" s="45">
        <f>307.3*2.2046</f>
        <v>677.4735800000001</v>
      </c>
      <c r="BL74" s="45">
        <v>88</v>
      </c>
      <c r="BM74" s="47">
        <f>6052+1653+141892+472523</f>
        <v>622120</v>
      </c>
      <c r="BN74" s="44">
        <v>47808</v>
      </c>
      <c r="BO74" s="45">
        <v>357</v>
      </c>
      <c r="BP74" s="45">
        <v>655</v>
      </c>
      <c r="BQ74" s="47">
        <f>1986+309+56932+16931</f>
        <v>76158</v>
      </c>
      <c r="BR74" s="44">
        <v>57322</v>
      </c>
      <c r="BS74" s="45">
        <v>4507</v>
      </c>
      <c r="BT74" s="45">
        <v>2584</v>
      </c>
      <c r="BU74" s="106">
        <v>150910</v>
      </c>
      <c r="BV74" s="129">
        <v>52796</v>
      </c>
      <c r="BW74" s="45">
        <v>654.76</v>
      </c>
      <c r="BX74" s="160">
        <v>335</v>
      </c>
      <c r="BY74" s="46">
        <v>214579</v>
      </c>
      <c r="BZ74" s="44">
        <v>46134</v>
      </c>
      <c r="CA74" s="45">
        <v>370.15</v>
      </c>
      <c r="CB74" s="45">
        <v>0</v>
      </c>
      <c r="CC74" s="106">
        <v>94057</v>
      </c>
      <c r="CD74" s="129">
        <v>34209</v>
      </c>
      <c r="CE74" s="45">
        <v>429.67</v>
      </c>
      <c r="CF74" s="159">
        <v>3488</v>
      </c>
      <c r="CG74" s="46">
        <v>257086</v>
      </c>
      <c r="CH74" s="129">
        <v>29527</v>
      </c>
      <c r="CI74" s="45">
        <v>82.06</v>
      </c>
      <c r="CJ74" s="159">
        <v>0</v>
      </c>
      <c r="CK74" s="46">
        <v>182205</v>
      </c>
      <c r="CL74" s="129">
        <v>22954</v>
      </c>
      <c r="CM74" s="45">
        <v>164.18</v>
      </c>
      <c r="CN74" s="159">
        <v>0</v>
      </c>
      <c r="CO74" s="46">
        <v>253347</v>
      </c>
    </row>
    <row r="75" spans="1:93" s="2" customFormat="1" ht="12" thickBot="1">
      <c r="A75" s="23" t="s">
        <v>46</v>
      </c>
      <c r="B75" s="65">
        <v>74420</v>
      </c>
      <c r="C75" s="66"/>
      <c r="D75" s="66"/>
      <c r="E75" s="67"/>
      <c r="F75" s="65">
        <v>80356</v>
      </c>
      <c r="G75" s="66"/>
      <c r="H75" s="66"/>
      <c r="I75" s="67"/>
      <c r="J75" s="65">
        <v>88506</v>
      </c>
      <c r="K75" s="66"/>
      <c r="L75" s="66"/>
      <c r="M75" s="67"/>
      <c r="N75" s="65">
        <v>107298</v>
      </c>
      <c r="O75" s="66"/>
      <c r="P75" s="66"/>
      <c r="Q75" s="67"/>
      <c r="R75" s="65">
        <v>210051</v>
      </c>
      <c r="S75" s="66"/>
      <c r="T75" s="66"/>
      <c r="U75" s="67"/>
      <c r="V75" s="65">
        <v>298679</v>
      </c>
      <c r="W75" s="66"/>
      <c r="X75" s="66"/>
      <c r="Y75" s="67"/>
      <c r="Z75" s="65">
        <v>283820</v>
      </c>
      <c r="AA75" s="66"/>
      <c r="AB75" s="66"/>
      <c r="AC75" s="67"/>
      <c r="AD75" s="65">
        <v>363358</v>
      </c>
      <c r="AE75" s="66"/>
      <c r="AF75" s="66"/>
      <c r="AG75" s="67"/>
      <c r="AH75" s="65">
        <v>425890</v>
      </c>
      <c r="AI75" s="66"/>
      <c r="AJ75" s="66"/>
      <c r="AK75" s="67"/>
      <c r="AL75" s="65">
        <v>508505</v>
      </c>
      <c r="AM75" s="66"/>
      <c r="AN75" s="66"/>
      <c r="AO75" s="67"/>
      <c r="AP75" s="65">
        <v>469232</v>
      </c>
      <c r="AQ75" s="66"/>
      <c r="AR75" s="66"/>
      <c r="AS75" s="67"/>
      <c r="AT75" s="65">
        <v>588752</v>
      </c>
      <c r="AU75" s="66"/>
      <c r="AV75" s="66"/>
      <c r="AW75" s="67"/>
      <c r="AX75" s="65">
        <v>444320</v>
      </c>
      <c r="AY75" s="66"/>
      <c r="AZ75" s="66"/>
      <c r="BA75" s="67"/>
      <c r="BB75" s="65">
        <v>294217</v>
      </c>
      <c r="BC75" s="66"/>
      <c r="BD75" s="66"/>
      <c r="BE75" s="67"/>
      <c r="BF75" s="65">
        <v>212178</v>
      </c>
      <c r="BG75" s="66"/>
      <c r="BH75" s="66"/>
      <c r="BI75" s="67"/>
      <c r="BJ75" s="65">
        <v>227852</v>
      </c>
      <c r="BK75" s="66"/>
      <c r="BL75" s="66"/>
      <c r="BM75" s="68"/>
      <c r="BN75" s="65">
        <v>210114</v>
      </c>
      <c r="BO75" s="66">
        <v>0</v>
      </c>
      <c r="BP75" s="66">
        <v>0</v>
      </c>
      <c r="BQ75" s="68">
        <v>0</v>
      </c>
      <c r="BR75" s="65">
        <v>174158</v>
      </c>
      <c r="BS75" s="66">
        <v>0</v>
      </c>
      <c r="BT75" s="66">
        <v>0</v>
      </c>
      <c r="BU75" s="183">
        <v>0</v>
      </c>
      <c r="BV75" s="145">
        <v>264217</v>
      </c>
      <c r="BW75" s="62">
        <v>0</v>
      </c>
      <c r="BX75" s="62">
        <v>0</v>
      </c>
      <c r="BY75" s="63">
        <v>0</v>
      </c>
      <c r="BZ75" s="65">
        <v>292134</v>
      </c>
      <c r="CA75" s="66">
        <v>0</v>
      </c>
      <c r="CB75" s="66">
        <v>0</v>
      </c>
      <c r="CC75" s="183">
        <v>0</v>
      </c>
      <c r="CD75" s="145">
        <v>248280</v>
      </c>
      <c r="CE75" s="62"/>
      <c r="CF75" s="62"/>
      <c r="CG75" s="63"/>
      <c r="CH75" s="145">
        <v>370062</v>
      </c>
      <c r="CI75" s="62"/>
      <c r="CJ75" s="62"/>
      <c r="CK75" s="63"/>
      <c r="CL75" s="145">
        <v>359852</v>
      </c>
      <c r="CM75" s="62"/>
      <c r="CN75" s="62"/>
      <c r="CO75" s="63"/>
    </row>
    <row r="76" spans="1:93" ht="12.75" thickBot="1" thickTop="1">
      <c r="A76" s="27" t="s">
        <v>73</v>
      </c>
      <c r="B76" s="69"/>
      <c r="C76" s="70"/>
      <c r="D76" s="70"/>
      <c r="E76" s="71"/>
      <c r="F76" s="69"/>
      <c r="G76" s="70"/>
      <c r="H76" s="70"/>
      <c r="I76" s="71"/>
      <c r="J76" s="69"/>
      <c r="K76" s="70"/>
      <c r="L76" s="70"/>
      <c r="M76" s="71"/>
      <c r="N76" s="69"/>
      <c r="O76" s="70"/>
      <c r="P76" s="70"/>
      <c r="Q76" s="71"/>
      <c r="R76" s="69"/>
      <c r="S76" s="70"/>
      <c r="T76" s="70"/>
      <c r="U76" s="71"/>
      <c r="V76" s="69"/>
      <c r="W76" s="70"/>
      <c r="X76" s="70"/>
      <c r="Y76" s="71"/>
      <c r="Z76" s="69"/>
      <c r="AA76" s="70"/>
      <c r="AB76" s="70"/>
      <c r="AC76" s="71"/>
      <c r="AD76" s="69"/>
      <c r="AE76" s="70"/>
      <c r="AF76" s="70"/>
      <c r="AG76" s="71"/>
      <c r="AH76" s="69"/>
      <c r="AI76" s="70"/>
      <c r="AJ76" s="70"/>
      <c r="AK76" s="71"/>
      <c r="AL76" s="69"/>
      <c r="AM76" s="70"/>
      <c r="AN76" s="70"/>
      <c r="AO76" s="71"/>
      <c r="AP76" s="69"/>
      <c r="AQ76" s="70"/>
      <c r="AR76" s="70"/>
      <c r="AS76" s="71"/>
      <c r="AT76" s="69"/>
      <c r="AU76" s="70"/>
      <c r="AV76" s="70"/>
      <c r="AW76" s="71"/>
      <c r="AX76" s="69"/>
      <c r="AY76" s="70"/>
      <c r="AZ76" s="70"/>
      <c r="BA76" s="71"/>
      <c r="BB76" s="69"/>
      <c r="BC76" s="70"/>
      <c r="BD76" s="70"/>
      <c r="BE76" s="71"/>
      <c r="BF76" s="69"/>
      <c r="BG76" s="70"/>
      <c r="BH76" s="70"/>
      <c r="BI76" s="71"/>
      <c r="BJ76" s="69"/>
      <c r="BK76" s="70"/>
      <c r="BL76" s="70"/>
      <c r="BM76" s="72"/>
      <c r="BN76" s="69"/>
      <c r="BO76" s="70"/>
      <c r="BP76" s="70"/>
      <c r="BQ76" s="72"/>
      <c r="BR76" s="69"/>
      <c r="BS76" s="70"/>
      <c r="BT76" s="70"/>
      <c r="BU76" s="72"/>
      <c r="BV76" s="141"/>
      <c r="BW76" s="142"/>
      <c r="BX76" s="142"/>
      <c r="BY76" s="184"/>
      <c r="BZ76" s="69"/>
      <c r="CA76" s="70"/>
      <c r="CB76" s="70"/>
      <c r="CC76" s="72"/>
      <c r="CD76" s="141"/>
      <c r="CE76" s="142"/>
      <c r="CF76" s="142"/>
      <c r="CG76" s="184"/>
      <c r="CH76" s="141"/>
      <c r="CI76" s="142"/>
      <c r="CJ76" s="142"/>
      <c r="CK76" s="184"/>
      <c r="CL76" s="141"/>
      <c r="CM76" s="142"/>
      <c r="CN76" s="142"/>
      <c r="CO76" s="184"/>
    </row>
    <row r="77" spans="1:93" s="2" customFormat="1" ht="11.25">
      <c r="A77" s="20" t="s">
        <v>64</v>
      </c>
      <c r="B77" s="57"/>
      <c r="C77" s="58">
        <f>53728*2.2046</f>
        <v>118448.7488</v>
      </c>
      <c r="D77" s="58">
        <v>664557</v>
      </c>
      <c r="E77" s="59">
        <v>903845</v>
      </c>
      <c r="F77" s="57"/>
      <c r="G77" s="58">
        <f>94986*2.2046</f>
        <v>209406.1356</v>
      </c>
      <c r="H77" s="58">
        <v>1806903</v>
      </c>
      <c r="I77" s="59">
        <v>833859</v>
      </c>
      <c r="J77" s="57"/>
      <c r="K77" s="58">
        <f>76431*2.2046</f>
        <v>168499.7826</v>
      </c>
      <c r="L77" s="58">
        <v>861150</v>
      </c>
      <c r="M77" s="59">
        <v>926247</v>
      </c>
      <c r="N77" s="57"/>
      <c r="O77" s="58">
        <f>44158*2.2046</f>
        <v>97350.7268</v>
      </c>
      <c r="P77" s="58">
        <v>692930</v>
      </c>
      <c r="Q77" s="59">
        <v>932704</v>
      </c>
      <c r="R77" s="57"/>
      <c r="S77" s="58">
        <f>47798*2.2046</f>
        <v>105375.47080000001</v>
      </c>
      <c r="T77" s="58">
        <v>405744</v>
      </c>
      <c r="U77" s="59">
        <v>575242</v>
      </c>
      <c r="V77" s="57"/>
      <c r="W77" s="58">
        <f>65088*2.2046</f>
        <v>143493.0048</v>
      </c>
      <c r="X77" s="58">
        <v>706608</v>
      </c>
      <c r="Y77" s="59">
        <v>337983</v>
      </c>
      <c r="Z77" s="57">
        <v>1902380</v>
      </c>
      <c r="AA77" s="58">
        <f>71255*2.2046</f>
        <v>157088.77300000002</v>
      </c>
      <c r="AB77" s="58">
        <v>431909</v>
      </c>
      <c r="AC77" s="59">
        <v>669950</v>
      </c>
      <c r="AD77" s="57">
        <v>1148982</v>
      </c>
      <c r="AE77" s="58">
        <f>71200*2.2046</f>
        <v>156967.52000000002</v>
      </c>
      <c r="AF77" s="58">
        <v>272289</v>
      </c>
      <c r="AG77" s="59">
        <v>305269</v>
      </c>
      <c r="AH77" s="57">
        <v>1263345</v>
      </c>
      <c r="AI77" s="58">
        <f>54693*2.2046</f>
        <v>120576.1878</v>
      </c>
      <c r="AJ77" s="58">
        <v>1265820</v>
      </c>
      <c r="AK77" s="59">
        <v>360279</v>
      </c>
      <c r="AL77" s="57">
        <v>1035338</v>
      </c>
      <c r="AM77" s="58">
        <f>35784*2.2046</f>
        <v>78889.4064</v>
      </c>
      <c r="AN77" s="58">
        <v>443982</v>
      </c>
      <c r="AO77" s="59">
        <v>184452</v>
      </c>
      <c r="AP77" s="57">
        <v>900448</v>
      </c>
      <c r="AQ77" s="58">
        <f>42036*2.2046</f>
        <v>92672.5656</v>
      </c>
      <c r="AR77" s="58">
        <v>462141</v>
      </c>
      <c r="AS77" s="59">
        <v>525280</v>
      </c>
      <c r="AT77" s="57">
        <v>895436</v>
      </c>
      <c r="AU77" s="58">
        <f>22823*2.2046</f>
        <v>50315.5858</v>
      </c>
      <c r="AV77" s="58">
        <v>425840</v>
      </c>
      <c r="AW77" s="59">
        <v>70330</v>
      </c>
      <c r="AX77" s="57">
        <v>944809</v>
      </c>
      <c r="AY77" s="58">
        <f>24357*2.2046</f>
        <v>53697.442200000005</v>
      </c>
      <c r="AZ77" s="58">
        <v>295840</v>
      </c>
      <c r="BA77" s="59">
        <v>131577</v>
      </c>
      <c r="BB77" s="57">
        <v>791855</v>
      </c>
      <c r="BC77" s="58">
        <f>31554*2.2046</f>
        <v>69563.94840000001</v>
      </c>
      <c r="BD77" s="58">
        <v>1173126</v>
      </c>
      <c r="BE77" s="59">
        <v>220930</v>
      </c>
      <c r="BF77" s="57">
        <v>653807</v>
      </c>
      <c r="BG77" s="58">
        <v>129943</v>
      </c>
      <c r="BH77" s="58">
        <v>434628</v>
      </c>
      <c r="BI77" s="59">
        <v>262638</v>
      </c>
      <c r="BJ77" s="57">
        <v>638194</v>
      </c>
      <c r="BK77" s="58">
        <f>44374*2.2046</f>
        <v>97826.9204</v>
      </c>
      <c r="BL77" s="58">
        <v>385173</v>
      </c>
      <c r="BM77" s="60">
        <v>331291</v>
      </c>
      <c r="BN77" s="57">
        <v>671122</v>
      </c>
      <c r="BO77" s="58">
        <v>87143</v>
      </c>
      <c r="BP77" s="58">
        <v>386150</v>
      </c>
      <c r="BQ77" s="60">
        <v>488113</v>
      </c>
      <c r="BR77" s="57">
        <v>592446</v>
      </c>
      <c r="BS77" s="58">
        <v>135295</v>
      </c>
      <c r="BT77" s="58">
        <v>562220</v>
      </c>
      <c r="BU77" s="153">
        <v>379598</v>
      </c>
      <c r="BV77" s="113">
        <v>830573</v>
      </c>
      <c r="BW77" s="114">
        <v>82623.47</v>
      </c>
      <c r="BX77" s="177">
        <v>422531</v>
      </c>
      <c r="BY77" s="178">
        <v>182182</v>
      </c>
      <c r="BZ77" s="57">
        <v>813044</v>
      </c>
      <c r="CA77" s="58">
        <v>33441.7</v>
      </c>
      <c r="CB77" s="159">
        <v>303551</v>
      </c>
      <c r="CC77" s="153">
        <v>108010</v>
      </c>
      <c r="CD77" s="113">
        <v>473621</v>
      </c>
      <c r="CE77" s="114">
        <v>39781.56</v>
      </c>
      <c r="CF77" s="156">
        <v>226055</v>
      </c>
      <c r="CG77" s="179">
        <v>385203</v>
      </c>
      <c r="CH77" s="113">
        <v>498798</v>
      </c>
      <c r="CI77" s="114">
        <v>115208.57</v>
      </c>
      <c r="CJ77" s="156">
        <v>432249</v>
      </c>
      <c r="CK77" s="179">
        <v>446119</v>
      </c>
      <c r="CL77" s="113">
        <v>622059</v>
      </c>
      <c r="CM77" s="114">
        <v>75026.2</v>
      </c>
      <c r="CN77" s="156">
        <v>614991</v>
      </c>
      <c r="CO77" s="179">
        <v>655126</v>
      </c>
    </row>
    <row r="78" spans="1:93" s="2" customFormat="1" ht="13.5" customHeight="1">
      <c r="A78" s="13" t="s">
        <v>37</v>
      </c>
      <c r="B78" s="44"/>
      <c r="C78" s="45"/>
      <c r="D78" s="45">
        <v>0</v>
      </c>
      <c r="E78" s="46">
        <v>0</v>
      </c>
      <c r="F78" s="44"/>
      <c r="G78" s="45"/>
      <c r="H78" s="45">
        <v>11</v>
      </c>
      <c r="I78" s="46">
        <v>0</v>
      </c>
      <c r="J78" s="44"/>
      <c r="K78" s="45">
        <f>30.35*2.2046</f>
        <v>66.90961</v>
      </c>
      <c r="L78" s="45">
        <v>0</v>
      </c>
      <c r="M78" s="46">
        <v>0</v>
      </c>
      <c r="N78" s="44"/>
      <c r="O78" s="45"/>
      <c r="P78" s="45">
        <v>0</v>
      </c>
      <c r="Q78" s="46">
        <v>0</v>
      </c>
      <c r="R78" s="44"/>
      <c r="S78" s="45"/>
      <c r="T78" s="45">
        <v>0</v>
      </c>
      <c r="U78" s="46">
        <v>0</v>
      </c>
      <c r="V78" s="44">
        <v>6495</v>
      </c>
      <c r="W78" s="45">
        <f>4.86*2.2046</f>
        <v>10.714356</v>
      </c>
      <c r="X78" s="45">
        <v>0</v>
      </c>
      <c r="Y78" s="46">
        <v>0</v>
      </c>
      <c r="Z78" s="44">
        <v>13564</v>
      </c>
      <c r="AA78" s="45">
        <f>1087.36*2.2046</f>
        <v>2397.193856</v>
      </c>
      <c r="AB78" s="45">
        <v>0</v>
      </c>
      <c r="AC78" s="46">
        <v>0</v>
      </c>
      <c r="AD78" s="44">
        <v>3850</v>
      </c>
      <c r="AE78" s="45">
        <f>4.32*2.2046</f>
        <v>9.523872</v>
      </c>
      <c r="AF78" s="45">
        <v>2293</v>
      </c>
      <c r="AG78" s="46">
        <v>3245</v>
      </c>
      <c r="AH78" s="44">
        <v>6419</v>
      </c>
      <c r="AI78" s="45">
        <f>29.03*2.2046</f>
        <v>63.99953800000001</v>
      </c>
      <c r="AJ78" s="45">
        <v>0</v>
      </c>
      <c r="AK78" s="46">
        <v>0</v>
      </c>
      <c r="AL78" s="44">
        <v>6306</v>
      </c>
      <c r="AM78" s="45">
        <f>9.58*2.2046</f>
        <v>21.120068</v>
      </c>
      <c r="AN78" s="45">
        <v>0</v>
      </c>
      <c r="AO78" s="46">
        <v>0</v>
      </c>
      <c r="AP78" s="44">
        <v>7623</v>
      </c>
      <c r="AQ78" s="45">
        <f>17.12*2.2046</f>
        <v>37.742752</v>
      </c>
      <c r="AR78" s="45">
        <v>0</v>
      </c>
      <c r="AS78" s="46">
        <v>511</v>
      </c>
      <c r="AT78" s="44">
        <v>17624</v>
      </c>
      <c r="AU78" s="45">
        <f>590.03*2.2046</f>
        <v>1300.780138</v>
      </c>
      <c r="AV78" s="45">
        <v>0</v>
      </c>
      <c r="AW78" s="46">
        <v>0</v>
      </c>
      <c r="AX78" s="44">
        <v>5064</v>
      </c>
      <c r="AY78" s="45">
        <f>119.57*2.2046</f>
        <v>263.604022</v>
      </c>
      <c r="AZ78" s="45">
        <v>0</v>
      </c>
      <c r="BA78" s="46">
        <v>4367</v>
      </c>
      <c r="BB78" s="44">
        <v>10347</v>
      </c>
      <c r="BC78" s="45">
        <f>99.06*2.2046</f>
        <v>218.38767600000003</v>
      </c>
      <c r="BD78" s="45">
        <v>2134</v>
      </c>
      <c r="BE78" s="46">
        <v>0</v>
      </c>
      <c r="BF78" s="44">
        <v>6194</v>
      </c>
      <c r="BG78" s="45">
        <f>1023.4*2.2046</f>
        <v>2256.18764</v>
      </c>
      <c r="BH78" s="45">
        <v>807</v>
      </c>
      <c r="BI78" s="46">
        <v>198</v>
      </c>
      <c r="BJ78" s="44">
        <v>4440</v>
      </c>
      <c r="BK78" s="45">
        <f>25.45*2.2046</f>
        <v>56.10707</v>
      </c>
      <c r="BL78" s="45">
        <v>0</v>
      </c>
      <c r="BM78" s="47">
        <v>0</v>
      </c>
      <c r="BN78" s="44">
        <v>3464</v>
      </c>
      <c r="BO78" s="45">
        <v>321</v>
      </c>
      <c r="BP78" s="45">
        <v>628</v>
      </c>
      <c r="BQ78" s="47">
        <v>0</v>
      </c>
      <c r="BR78" s="44">
        <v>5786</v>
      </c>
      <c r="BS78" s="45">
        <v>0</v>
      </c>
      <c r="BT78" s="45">
        <v>452</v>
      </c>
      <c r="BU78" s="106">
        <v>0</v>
      </c>
      <c r="BV78" s="129">
        <v>2807</v>
      </c>
      <c r="BW78" s="45">
        <v>66.14</v>
      </c>
      <c r="BX78" s="159">
        <v>1276</v>
      </c>
      <c r="BY78" s="46">
        <v>0</v>
      </c>
      <c r="BZ78" s="44">
        <v>8132</v>
      </c>
      <c r="CA78" s="45">
        <v>98.21</v>
      </c>
      <c r="CB78" s="159">
        <v>2339</v>
      </c>
      <c r="CC78" s="182">
        <v>77</v>
      </c>
      <c r="CD78" s="129">
        <v>3745</v>
      </c>
      <c r="CE78" s="45">
        <v>386.2</v>
      </c>
      <c r="CF78" s="45">
        <v>0</v>
      </c>
      <c r="CG78" s="172">
        <v>2169</v>
      </c>
      <c r="CH78" s="129">
        <v>4268</v>
      </c>
      <c r="CI78" s="45">
        <v>14948.68</v>
      </c>
      <c r="CJ78" s="45">
        <v>0</v>
      </c>
      <c r="CK78" s="172">
        <v>185</v>
      </c>
      <c r="CL78" s="129">
        <v>1151</v>
      </c>
      <c r="CM78" s="45">
        <v>82.11</v>
      </c>
      <c r="CN78" s="45">
        <v>0</v>
      </c>
      <c r="CO78" s="172">
        <v>4879</v>
      </c>
    </row>
    <row r="79" spans="1:93" s="2" customFormat="1" ht="13.5" customHeight="1">
      <c r="A79" s="13" t="s">
        <v>118</v>
      </c>
      <c r="B79" s="44">
        <v>512331</v>
      </c>
      <c r="C79" s="45"/>
      <c r="D79" s="45"/>
      <c r="E79" s="46"/>
      <c r="F79" s="44">
        <v>1383961</v>
      </c>
      <c r="G79" s="45"/>
      <c r="H79" s="45"/>
      <c r="I79" s="46"/>
      <c r="J79" s="44">
        <v>1270041</v>
      </c>
      <c r="K79" s="45"/>
      <c r="L79" s="45"/>
      <c r="M79" s="46"/>
      <c r="N79" s="44">
        <v>1116371</v>
      </c>
      <c r="O79" s="45"/>
      <c r="P79" s="45"/>
      <c r="Q79" s="46"/>
      <c r="R79" s="44">
        <v>1874659</v>
      </c>
      <c r="S79" s="45"/>
      <c r="T79" s="45"/>
      <c r="U79" s="46"/>
      <c r="V79" s="44">
        <v>2381345</v>
      </c>
      <c r="W79" s="45"/>
      <c r="X79" s="45"/>
      <c r="Y79" s="46"/>
      <c r="Z79" s="44">
        <v>407118</v>
      </c>
      <c r="AA79" s="45"/>
      <c r="AB79" s="45"/>
      <c r="AC79" s="46"/>
      <c r="AD79" s="44">
        <v>799861</v>
      </c>
      <c r="AE79" s="45"/>
      <c r="AF79" s="45"/>
      <c r="AG79" s="46"/>
      <c r="AH79" s="44">
        <v>733925</v>
      </c>
      <c r="AI79" s="45"/>
      <c r="AJ79" s="45"/>
      <c r="AK79" s="46"/>
      <c r="AL79" s="44">
        <v>892138</v>
      </c>
      <c r="AM79" s="45"/>
      <c r="AN79" s="45"/>
      <c r="AO79" s="46"/>
      <c r="AP79" s="44">
        <v>644957</v>
      </c>
      <c r="AQ79" s="45"/>
      <c r="AR79" s="45"/>
      <c r="AS79" s="46"/>
      <c r="AT79" s="44">
        <v>520671</v>
      </c>
      <c r="AU79" s="45"/>
      <c r="AV79" s="45"/>
      <c r="AW79" s="46"/>
      <c r="AX79" s="44">
        <v>282078</v>
      </c>
      <c r="AY79" s="45"/>
      <c r="AZ79" s="45"/>
      <c r="BA79" s="46"/>
      <c r="BB79" s="44">
        <v>291161</v>
      </c>
      <c r="BC79" s="45"/>
      <c r="BD79" s="45"/>
      <c r="BE79" s="46"/>
      <c r="BF79" s="44">
        <v>281474</v>
      </c>
      <c r="BG79" s="45"/>
      <c r="BH79" s="45"/>
      <c r="BI79" s="46"/>
      <c r="BJ79" s="44">
        <v>276229</v>
      </c>
      <c r="BK79" s="45"/>
      <c r="BL79" s="45"/>
      <c r="BM79" s="47"/>
      <c r="BN79" s="44">
        <v>289219</v>
      </c>
      <c r="BO79" s="45"/>
      <c r="BP79" s="45"/>
      <c r="BQ79" s="47"/>
      <c r="BR79" s="44">
        <v>322502</v>
      </c>
      <c r="BS79" s="45"/>
      <c r="BT79" s="45"/>
      <c r="BU79" s="106"/>
      <c r="BV79" s="129">
        <v>247423</v>
      </c>
      <c r="BW79" s="45"/>
      <c r="BX79" s="45"/>
      <c r="BY79" s="46"/>
      <c r="BZ79" s="44">
        <v>229548</v>
      </c>
      <c r="CA79" s="45"/>
      <c r="CB79" s="45"/>
      <c r="CC79" s="106"/>
      <c r="CD79" s="129">
        <v>187801</v>
      </c>
      <c r="CE79" s="45"/>
      <c r="CF79" s="45"/>
      <c r="CG79" s="46"/>
      <c r="CH79" s="129">
        <v>206853</v>
      </c>
      <c r="CI79" s="45"/>
      <c r="CJ79" s="45"/>
      <c r="CK79" s="46"/>
      <c r="CL79" s="129">
        <v>190341</v>
      </c>
      <c r="CM79" s="45"/>
      <c r="CN79" s="45"/>
      <c r="CO79" s="46"/>
    </row>
    <row r="80" spans="1:93" s="2" customFormat="1" ht="11.25">
      <c r="A80" s="13" t="s">
        <v>38</v>
      </c>
      <c r="B80" s="44"/>
      <c r="C80" s="45">
        <f>2227.28*2.2046</f>
        <v>4910.261488000001</v>
      </c>
      <c r="D80" s="45">
        <v>0</v>
      </c>
      <c r="E80" s="46">
        <v>0</v>
      </c>
      <c r="F80" s="44"/>
      <c r="G80" s="45">
        <f>4936.91*2.2046</f>
        <v>10883.911786</v>
      </c>
      <c r="H80" s="45">
        <v>0</v>
      </c>
      <c r="I80" s="46">
        <v>2868</v>
      </c>
      <c r="J80" s="44"/>
      <c r="K80" s="45">
        <f>6315.22*2.2046</f>
        <v>13922.534012000002</v>
      </c>
      <c r="L80" s="45">
        <v>0</v>
      </c>
      <c r="M80" s="46">
        <v>0</v>
      </c>
      <c r="N80" s="44"/>
      <c r="O80" s="45">
        <f>1731.85*2.2046</f>
        <v>3818.03651</v>
      </c>
      <c r="P80" s="45">
        <v>0</v>
      </c>
      <c r="Q80" s="46">
        <v>0</v>
      </c>
      <c r="R80" s="44"/>
      <c r="S80" s="45">
        <f>1255.3*2.2046</f>
        <v>2767.43438</v>
      </c>
      <c r="T80" s="45">
        <v>0</v>
      </c>
      <c r="U80" s="46">
        <v>0</v>
      </c>
      <c r="V80" s="44">
        <v>2799</v>
      </c>
      <c r="W80" s="45">
        <f>7796.76*2.2046</f>
        <v>17188.737096</v>
      </c>
      <c r="X80" s="45">
        <v>0</v>
      </c>
      <c r="Y80" s="46">
        <v>0</v>
      </c>
      <c r="Z80" s="44">
        <v>1569</v>
      </c>
      <c r="AA80" s="45">
        <f>9152.92*2.2046</f>
        <v>20178.527432000003</v>
      </c>
      <c r="AB80" s="45">
        <v>284</v>
      </c>
      <c r="AC80" s="46">
        <v>2595</v>
      </c>
      <c r="AD80" s="44">
        <v>16930</v>
      </c>
      <c r="AE80" s="45">
        <f>14527.98*2.2046</f>
        <v>32028.384708</v>
      </c>
      <c r="AF80" s="45">
        <v>864</v>
      </c>
      <c r="AG80" s="46">
        <v>0</v>
      </c>
      <c r="AH80" s="44">
        <v>21551</v>
      </c>
      <c r="AI80" s="45">
        <f>11759.97*2.2046</f>
        <v>25926.029862</v>
      </c>
      <c r="AJ80" s="45">
        <v>5026</v>
      </c>
      <c r="AK80" s="46">
        <v>2540</v>
      </c>
      <c r="AL80" s="44">
        <v>20743</v>
      </c>
      <c r="AM80" s="45">
        <f>16054.18*2.2046</f>
        <v>35393.045228</v>
      </c>
      <c r="AN80" s="45">
        <v>840</v>
      </c>
      <c r="AO80" s="46">
        <v>0</v>
      </c>
      <c r="AP80" s="44">
        <v>16306</v>
      </c>
      <c r="AQ80" s="45">
        <f>16506.75*2.2046</f>
        <v>36390.781050000005</v>
      </c>
      <c r="AR80" s="45">
        <v>0</v>
      </c>
      <c r="AS80" s="46">
        <v>0</v>
      </c>
      <c r="AT80" s="44">
        <v>25262</v>
      </c>
      <c r="AU80" s="45">
        <f>11593.86*2.2046</f>
        <v>25559.823756</v>
      </c>
      <c r="AV80" s="45">
        <v>0</v>
      </c>
      <c r="AW80" s="46">
        <v>110</v>
      </c>
      <c r="AX80" s="44">
        <v>22863</v>
      </c>
      <c r="AY80" s="45">
        <f>12520.54*2.2046</f>
        <v>27602.782484000003</v>
      </c>
      <c r="AZ80" s="45">
        <v>23329</v>
      </c>
      <c r="BA80" s="46">
        <v>0</v>
      </c>
      <c r="BB80" s="44">
        <v>78080</v>
      </c>
      <c r="BC80" s="45">
        <f>15344.78*2.2046</f>
        <v>33829.101988</v>
      </c>
      <c r="BD80" s="45">
        <v>235299</v>
      </c>
      <c r="BE80" s="46">
        <v>10238</v>
      </c>
      <c r="BF80" s="44">
        <v>62457</v>
      </c>
      <c r="BG80" s="45">
        <f>14772.20466*2.2046</f>
        <v>32566.802393436</v>
      </c>
      <c r="BH80" s="45">
        <v>37474</v>
      </c>
      <c r="BI80" s="46">
        <v>22637</v>
      </c>
      <c r="BJ80" s="44">
        <v>93020</v>
      </c>
      <c r="BK80" s="45">
        <f>18810.78*2.2046</f>
        <v>41470.245588</v>
      </c>
      <c r="BL80" s="45">
        <v>32189</v>
      </c>
      <c r="BM80" s="47">
        <v>7227</v>
      </c>
      <c r="BN80" s="44">
        <v>86888</v>
      </c>
      <c r="BO80" s="45">
        <v>14191</v>
      </c>
      <c r="BP80" s="45">
        <v>30088</v>
      </c>
      <c r="BQ80" s="47">
        <v>4378</v>
      </c>
      <c r="BR80" s="44">
        <v>92239</v>
      </c>
      <c r="BS80" s="45">
        <v>35529</v>
      </c>
      <c r="BT80" s="45">
        <v>51992</v>
      </c>
      <c r="BU80" s="106">
        <v>24794</v>
      </c>
      <c r="BV80" s="129">
        <v>134974</v>
      </c>
      <c r="BW80" s="45">
        <v>31280.87</v>
      </c>
      <c r="BX80" s="159">
        <v>102677</v>
      </c>
      <c r="BY80" s="172">
        <v>19138</v>
      </c>
      <c r="BZ80" s="44">
        <v>91003</v>
      </c>
      <c r="CA80" s="45">
        <v>23796.54</v>
      </c>
      <c r="CB80" s="159">
        <v>29729</v>
      </c>
      <c r="CC80" s="106">
        <v>13055</v>
      </c>
      <c r="CD80" s="129">
        <v>111763</v>
      </c>
      <c r="CE80" s="45">
        <v>31445.2</v>
      </c>
      <c r="CF80" s="156">
        <v>67888</v>
      </c>
      <c r="CG80" s="46">
        <v>65212</v>
      </c>
      <c r="CH80" s="129">
        <v>155738</v>
      </c>
      <c r="CI80" s="45">
        <v>45335.54</v>
      </c>
      <c r="CJ80" s="156">
        <v>25867</v>
      </c>
      <c r="CK80" s="46">
        <v>107589</v>
      </c>
      <c r="CL80" s="129">
        <v>173161</v>
      </c>
      <c r="CM80" s="45">
        <v>26692.16</v>
      </c>
      <c r="CN80" s="156">
        <v>51722</v>
      </c>
      <c r="CO80" s="46">
        <v>45922</v>
      </c>
    </row>
    <row r="81" spans="1:93" s="2" customFormat="1" ht="11.25">
      <c r="A81" s="13" t="s">
        <v>39</v>
      </c>
      <c r="B81" s="44"/>
      <c r="C81" s="45">
        <f>2.3*2.2046</f>
        <v>5.07058</v>
      </c>
      <c r="D81" s="45">
        <v>0</v>
      </c>
      <c r="E81" s="46">
        <v>0</v>
      </c>
      <c r="F81" s="44"/>
      <c r="G81" s="45">
        <f>0.77*2.2046</f>
        <v>1.697542</v>
      </c>
      <c r="H81" s="45">
        <v>0</v>
      </c>
      <c r="I81" s="46">
        <v>187</v>
      </c>
      <c r="J81" s="44"/>
      <c r="K81" s="45">
        <f>0.9*2.2046</f>
        <v>1.9841400000000002</v>
      </c>
      <c r="L81" s="45">
        <v>0</v>
      </c>
      <c r="M81" s="46">
        <v>42333</v>
      </c>
      <c r="N81" s="44"/>
      <c r="O81" s="45">
        <f>99.22*2.2046</f>
        <v>218.74041200000002</v>
      </c>
      <c r="P81" s="45">
        <v>0</v>
      </c>
      <c r="Q81" s="46">
        <v>0</v>
      </c>
      <c r="R81" s="44"/>
      <c r="S81" s="45">
        <f>27.02*2.2046</f>
        <v>59.568292</v>
      </c>
      <c r="T81" s="45">
        <v>0</v>
      </c>
      <c r="U81" s="46">
        <v>0</v>
      </c>
      <c r="V81" s="44">
        <v>146</v>
      </c>
      <c r="W81" s="45">
        <f>36.03*2.2046</f>
        <v>79.43173800000001</v>
      </c>
      <c r="X81" s="45">
        <v>0</v>
      </c>
      <c r="Y81" s="46">
        <v>0</v>
      </c>
      <c r="Z81" s="44">
        <v>4956</v>
      </c>
      <c r="AA81" s="45">
        <f>1969.54*2.2046</f>
        <v>4342.0478840000005</v>
      </c>
      <c r="AB81" s="45">
        <v>0</v>
      </c>
      <c r="AC81" s="46">
        <v>0</v>
      </c>
      <c r="AD81" s="44">
        <v>1215</v>
      </c>
      <c r="AE81" s="45">
        <f>12473.62*2.2046</f>
        <v>27499.342652000003</v>
      </c>
      <c r="AF81" s="45">
        <v>0</v>
      </c>
      <c r="AG81" s="46">
        <v>619</v>
      </c>
      <c r="AH81" s="44">
        <v>4663</v>
      </c>
      <c r="AI81" s="45">
        <f>9789.75*2.2046</f>
        <v>21582.48285</v>
      </c>
      <c r="AJ81" s="45">
        <v>0</v>
      </c>
      <c r="AK81" s="46">
        <v>0</v>
      </c>
      <c r="AL81" s="44">
        <v>4395</v>
      </c>
      <c r="AM81" s="45">
        <f>12234.61*2.2046</f>
        <v>26972.421206000003</v>
      </c>
      <c r="AN81" s="45">
        <v>448</v>
      </c>
      <c r="AO81" s="46">
        <v>355</v>
      </c>
      <c r="AP81" s="44">
        <v>9728</v>
      </c>
      <c r="AQ81" s="45">
        <f>9506.77*2.2046</f>
        <v>20958.625142</v>
      </c>
      <c r="AR81" s="45">
        <v>0</v>
      </c>
      <c r="AS81" s="46">
        <v>203</v>
      </c>
      <c r="AT81" s="44">
        <v>47714</v>
      </c>
      <c r="AU81" s="45">
        <f>7881.36*2.2046</f>
        <v>17375.246256</v>
      </c>
      <c r="AV81" s="45">
        <v>1733</v>
      </c>
      <c r="AW81" s="46">
        <v>7654</v>
      </c>
      <c r="AX81" s="44">
        <v>35486</v>
      </c>
      <c r="AY81" s="45">
        <f>15454*2.2046</f>
        <v>34069.8884</v>
      </c>
      <c r="AZ81" s="45">
        <v>2136</v>
      </c>
      <c r="BA81" s="46">
        <v>0</v>
      </c>
      <c r="BB81" s="44">
        <v>49715</v>
      </c>
      <c r="BC81" s="45">
        <f>20043.29*2.2046</f>
        <v>44187.43713400001</v>
      </c>
      <c r="BD81" s="45">
        <v>61321</v>
      </c>
      <c r="BE81" s="46">
        <v>2881</v>
      </c>
      <c r="BF81" s="44">
        <v>58605</v>
      </c>
      <c r="BG81" s="45">
        <v>25930</v>
      </c>
      <c r="BH81" s="45">
        <v>11122</v>
      </c>
      <c r="BI81" s="46">
        <v>66795</v>
      </c>
      <c r="BJ81" s="44">
        <v>35003</v>
      </c>
      <c r="BK81" s="45">
        <f>15214.39*2.2046</f>
        <v>33541.644194</v>
      </c>
      <c r="BL81" s="45">
        <v>34061</v>
      </c>
      <c r="BM81" s="47">
        <v>20961</v>
      </c>
      <c r="BN81" s="44">
        <v>23006</v>
      </c>
      <c r="BO81" s="45">
        <v>20409</v>
      </c>
      <c r="BP81" s="45">
        <v>12932</v>
      </c>
      <c r="BQ81" s="47">
        <v>4275</v>
      </c>
      <c r="BR81" s="44">
        <v>18097</v>
      </c>
      <c r="BS81" s="45">
        <v>40110</v>
      </c>
      <c r="BT81" s="45">
        <v>13029</v>
      </c>
      <c r="BU81" s="106">
        <v>8867</v>
      </c>
      <c r="BV81" s="129">
        <v>32048</v>
      </c>
      <c r="BW81" s="45">
        <v>46545.42</v>
      </c>
      <c r="BX81" s="159">
        <v>83479</v>
      </c>
      <c r="BY81" s="172">
        <v>25741</v>
      </c>
      <c r="BZ81" s="44">
        <v>35776</v>
      </c>
      <c r="CA81" s="45">
        <v>44219.81</v>
      </c>
      <c r="CB81" s="159">
        <v>12668</v>
      </c>
      <c r="CC81" s="106">
        <v>6902</v>
      </c>
      <c r="CD81" s="129">
        <v>31775</v>
      </c>
      <c r="CE81" s="45">
        <v>99623.87</v>
      </c>
      <c r="CF81" s="156">
        <v>5009</v>
      </c>
      <c r="CG81" s="46">
        <v>45530</v>
      </c>
      <c r="CH81" s="129">
        <v>29956</v>
      </c>
      <c r="CI81" s="45">
        <v>48228</v>
      </c>
      <c r="CJ81" s="159">
        <v>6709</v>
      </c>
      <c r="CK81" s="46">
        <v>52290</v>
      </c>
      <c r="CL81" s="129">
        <v>27196</v>
      </c>
      <c r="CM81" s="45">
        <v>52108.95</v>
      </c>
      <c r="CN81" s="159">
        <v>12599</v>
      </c>
      <c r="CO81" s="46">
        <v>95730</v>
      </c>
    </row>
    <row r="82" spans="1:93" s="52" customFormat="1" ht="13.5" customHeight="1">
      <c r="A82" s="14" t="s">
        <v>60</v>
      </c>
      <c r="B82" s="48"/>
      <c r="C82" s="49">
        <f>25.4*2.2046</f>
        <v>55.99684</v>
      </c>
      <c r="D82" s="49">
        <v>0</v>
      </c>
      <c r="E82" s="50">
        <v>0</v>
      </c>
      <c r="F82" s="48"/>
      <c r="G82" s="49">
        <f>63.5*2.2046</f>
        <v>139.9921</v>
      </c>
      <c r="H82" s="49">
        <v>0</v>
      </c>
      <c r="I82" s="50">
        <v>2816</v>
      </c>
      <c r="J82" s="48"/>
      <c r="K82" s="49">
        <f>14.55*2.2046</f>
        <v>32.076930000000004</v>
      </c>
      <c r="L82" s="49">
        <v>0</v>
      </c>
      <c r="M82" s="50">
        <v>54827</v>
      </c>
      <c r="N82" s="48"/>
      <c r="O82" s="49">
        <f>13*2.2046</f>
        <v>28.6598</v>
      </c>
      <c r="P82" s="49">
        <v>25953</v>
      </c>
      <c r="Q82" s="50">
        <v>10247</v>
      </c>
      <c r="R82" s="48"/>
      <c r="S82" s="49">
        <f>33.24*2.2046</f>
        <v>73.280904</v>
      </c>
      <c r="T82" s="49">
        <v>1898</v>
      </c>
      <c r="U82" s="50">
        <v>128980</v>
      </c>
      <c r="V82" s="48"/>
      <c r="W82" s="49">
        <f>45.84*2.2046</f>
        <v>101.05886400000001</v>
      </c>
      <c r="X82" s="49">
        <v>84</v>
      </c>
      <c r="Y82" s="50">
        <v>0</v>
      </c>
      <c r="Z82" s="48"/>
      <c r="AA82" s="49">
        <f>40.7*2.2046</f>
        <v>89.72722000000002</v>
      </c>
      <c r="AB82" s="49">
        <v>0</v>
      </c>
      <c r="AC82" s="50">
        <v>2802</v>
      </c>
      <c r="AD82" s="48"/>
      <c r="AE82" s="49">
        <f>79.45*2.2046</f>
        <v>175.15547</v>
      </c>
      <c r="AF82" s="49">
        <v>0</v>
      </c>
      <c r="AG82" s="50">
        <v>18450</v>
      </c>
      <c r="AH82" s="48"/>
      <c r="AI82" s="49">
        <f>94.34*2.2046</f>
        <v>207.981964</v>
      </c>
      <c r="AJ82" s="49">
        <v>0</v>
      </c>
      <c r="AK82" s="50">
        <v>24359</v>
      </c>
      <c r="AL82" s="48"/>
      <c r="AM82" s="49">
        <f>79.88*2.2046</f>
        <v>176.103448</v>
      </c>
      <c r="AN82" s="49">
        <v>0</v>
      </c>
      <c r="AO82" s="50">
        <v>15463</v>
      </c>
      <c r="AP82" s="48"/>
      <c r="AQ82" s="49">
        <f>143.9*2.2046</f>
        <v>317.24194000000006</v>
      </c>
      <c r="AR82" s="49">
        <v>0</v>
      </c>
      <c r="AS82" s="50">
        <v>6865</v>
      </c>
      <c r="AT82" s="48"/>
      <c r="AU82" s="49">
        <f>143.34*2.2046</f>
        <v>316.00736400000005</v>
      </c>
      <c r="AV82" s="49">
        <v>2831</v>
      </c>
      <c r="AW82" s="50">
        <v>498</v>
      </c>
      <c r="AX82" s="48"/>
      <c r="AY82" s="49">
        <f>8.58*2.2046</f>
        <v>18.915468</v>
      </c>
      <c r="AZ82" s="49">
        <v>520</v>
      </c>
      <c r="BA82" s="50">
        <v>919</v>
      </c>
      <c r="BB82" s="48"/>
      <c r="BC82" s="49">
        <f>181.22*2.2046</f>
        <v>399.51761200000004</v>
      </c>
      <c r="BD82" s="49">
        <v>836</v>
      </c>
      <c r="BE82" s="50">
        <v>5615</v>
      </c>
      <c r="BF82" s="48"/>
      <c r="BG82" s="49">
        <f>9.1*2.2046</f>
        <v>20.06186</v>
      </c>
      <c r="BH82" s="49">
        <v>1942</v>
      </c>
      <c r="BI82" s="50">
        <v>5593</v>
      </c>
      <c r="BJ82" s="48"/>
      <c r="BK82" s="49">
        <f>21.63*2.2046</f>
        <v>47.685498</v>
      </c>
      <c r="BL82" s="49">
        <v>0</v>
      </c>
      <c r="BM82" s="51">
        <v>624</v>
      </c>
      <c r="BN82" s="48">
        <v>0</v>
      </c>
      <c r="BO82" s="49">
        <v>175</v>
      </c>
      <c r="BP82" s="49">
        <v>1281</v>
      </c>
      <c r="BQ82" s="51">
        <v>5694</v>
      </c>
      <c r="BR82" s="48">
        <v>0</v>
      </c>
      <c r="BS82" s="49">
        <v>511</v>
      </c>
      <c r="BT82" s="49">
        <v>0</v>
      </c>
      <c r="BU82" s="120">
        <v>5906</v>
      </c>
      <c r="BV82" s="116">
        <v>0</v>
      </c>
      <c r="BW82" s="49">
        <v>200.62</v>
      </c>
      <c r="BX82" s="49">
        <v>0</v>
      </c>
      <c r="BY82" s="50">
        <v>0</v>
      </c>
      <c r="BZ82" s="48">
        <v>0</v>
      </c>
      <c r="CA82" s="49">
        <v>168.36</v>
      </c>
      <c r="CB82" s="160">
        <v>0</v>
      </c>
      <c r="CC82" s="186">
        <v>29491</v>
      </c>
      <c r="CD82" s="116">
        <v>0</v>
      </c>
      <c r="CE82" s="49">
        <v>55.16</v>
      </c>
      <c r="CF82" s="49">
        <v>0</v>
      </c>
      <c r="CG82" s="156">
        <v>11082</v>
      </c>
      <c r="CH82" s="116">
        <v>0</v>
      </c>
      <c r="CI82" s="49">
        <v>59.12</v>
      </c>
      <c r="CJ82" s="49">
        <v>602</v>
      </c>
      <c r="CK82" s="50">
        <v>7485</v>
      </c>
      <c r="CL82" s="116">
        <v>0</v>
      </c>
      <c r="CM82" s="49">
        <v>59.35</v>
      </c>
      <c r="CN82" s="49">
        <v>0</v>
      </c>
      <c r="CO82" s="50">
        <v>0</v>
      </c>
    </row>
    <row r="83" spans="1:93" s="52" customFormat="1" ht="11.25">
      <c r="A83" s="14" t="s">
        <v>52</v>
      </c>
      <c r="B83" s="48">
        <v>37949</v>
      </c>
      <c r="C83" s="49">
        <f>27210.56*2.2046</f>
        <v>59988.40057600001</v>
      </c>
      <c r="D83" s="49">
        <v>0</v>
      </c>
      <c r="E83" s="50">
        <v>420016</v>
      </c>
      <c r="F83" s="48">
        <v>110040</v>
      </c>
      <c r="G83" s="49">
        <f>36291.55*2.2046</f>
        <v>80008.35113000001</v>
      </c>
      <c r="H83" s="49">
        <v>0</v>
      </c>
      <c r="I83" s="50">
        <v>96555</v>
      </c>
      <c r="J83" s="48">
        <v>57421</v>
      </c>
      <c r="K83" s="49">
        <f>35964.19*2.2046</f>
        <v>79286.65327400001</v>
      </c>
      <c r="L83" s="49">
        <v>31246</v>
      </c>
      <c r="M83" s="50">
        <v>440353</v>
      </c>
      <c r="N83" s="48">
        <v>79328</v>
      </c>
      <c r="O83" s="49">
        <f>28438.53*2.2046</f>
        <v>62695.583238</v>
      </c>
      <c r="P83" s="49">
        <v>2011</v>
      </c>
      <c r="Q83" s="50">
        <v>442483</v>
      </c>
      <c r="R83" s="48">
        <v>86441</v>
      </c>
      <c r="S83" s="49">
        <f>14410.7*2.2046</f>
        <v>31769.829220000003</v>
      </c>
      <c r="T83" s="49">
        <v>4758</v>
      </c>
      <c r="U83" s="50">
        <v>281944</v>
      </c>
      <c r="V83" s="48">
        <v>56998</v>
      </c>
      <c r="W83" s="49">
        <f>20829.88*2.2046</f>
        <v>45921.553448000006</v>
      </c>
      <c r="X83" s="49">
        <v>2445</v>
      </c>
      <c r="Y83" s="50">
        <v>494657</v>
      </c>
      <c r="Z83" s="48">
        <v>47574</v>
      </c>
      <c r="AA83" s="49">
        <f>22514.43*2.2046</f>
        <v>49635.312378</v>
      </c>
      <c r="AB83" s="49">
        <v>999</v>
      </c>
      <c r="AC83" s="50">
        <v>283227</v>
      </c>
      <c r="AD83" s="48">
        <v>75039</v>
      </c>
      <c r="AE83" s="49">
        <f>31259.47*2.2046</f>
        <v>68914.62756200001</v>
      </c>
      <c r="AF83" s="49">
        <v>3902</v>
      </c>
      <c r="AG83" s="50">
        <v>387346</v>
      </c>
      <c r="AH83" s="48">
        <v>65584</v>
      </c>
      <c r="AI83" s="49">
        <f>29279.62*2.2046</f>
        <v>64549.850252000004</v>
      </c>
      <c r="AJ83" s="49">
        <v>3413</v>
      </c>
      <c r="AK83" s="50">
        <v>444323</v>
      </c>
      <c r="AL83" s="48">
        <v>66852</v>
      </c>
      <c r="AM83" s="49">
        <f>22822.45*2.2046</f>
        <v>50314.373270000004</v>
      </c>
      <c r="AN83" s="49">
        <v>1801</v>
      </c>
      <c r="AO83" s="50">
        <v>622916</v>
      </c>
      <c r="AP83" s="48">
        <v>78434</v>
      </c>
      <c r="AQ83" s="49">
        <f>11774.74*2.2046</f>
        <v>25958.591804</v>
      </c>
      <c r="AR83" s="49">
        <v>11669</v>
      </c>
      <c r="AS83" s="50">
        <v>275041</v>
      </c>
      <c r="AT83" s="48">
        <v>186073</v>
      </c>
      <c r="AU83" s="49">
        <f>18714.23*2.2046</f>
        <v>41257.391458</v>
      </c>
      <c r="AV83" s="49">
        <v>24004</v>
      </c>
      <c r="AW83" s="50">
        <v>461599</v>
      </c>
      <c r="AX83" s="48">
        <v>265777</v>
      </c>
      <c r="AY83" s="49">
        <f>9797.86*2.2046</f>
        <v>21600.362156000003</v>
      </c>
      <c r="AZ83" s="49">
        <v>44447</v>
      </c>
      <c r="BA83" s="50">
        <v>493244</v>
      </c>
      <c r="BB83" s="48">
        <v>225606</v>
      </c>
      <c r="BC83" s="49">
        <f>12666.29*2.2046</f>
        <v>27924.102934000002</v>
      </c>
      <c r="BD83" s="49">
        <v>30212</v>
      </c>
      <c r="BE83" s="50">
        <v>495347</v>
      </c>
      <c r="BF83" s="48">
        <v>161130</v>
      </c>
      <c r="BG83" s="49">
        <v>13908</v>
      </c>
      <c r="BH83" s="49">
        <v>3291</v>
      </c>
      <c r="BI83" s="50">
        <v>753806</v>
      </c>
      <c r="BJ83" s="48">
        <v>162604</v>
      </c>
      <c r="BK83" s="49">
        <f>9184.65*2.2046</f>
        <v>20248.47939</v>
      </c>
      <c r="BL83" s="49">
        <v>21629</v>
      </c>
      <c r="BM83" s="51">
        <v>1097569</v>
      </c>
      <c r="BN83" s="48">
        <v>137604</v>
      </c>
      <c r="BO83" s="49">
        <v>13528</v>
      </c>
      <c r="BP83" s="49">
        <v>36550</v>
      </c>
      <c r="BQ83" s="51">
        <v>457339</v>
      </c>
      <c r="BR83" s="48">
        <v>114438</v>
      </c>
      <c r="BS83" s="49">
        <v>14284</v>
      </c>
      <c r="BT83" s="49">
        <v>21823</v>
      </c>
      <c r="BU83" s="120">
        <v>1180400</v>
      </c>
      <c r="BV83" s="116">
        <v>160899</v>
      </c>
      <c r="BW83" s="49">
        <v>22363.32</v>
      </c>
      <c r="BX83" s="159">
        <v>55014</v>
      </c>
      <c r="BY83" s="50">
        <v>469474</v>
      </c>
      <c r="BZ83" s="48">
        <v>143254</v>
      </c>
      <c r="CA83" s="49">
        <v>20509.68</v>
      </c>
      <c r="CB83" s="159">
        <v>21142</v>
      </c>
      <c r="CC83" s="120">
        <v>477611</v>
      </c>
      <c r="CD83" s="116">
        <v>164525</v>
      </c>
      <c r="CE83" s="49">
        <v>12358.6</v>
      </c>
      <c r="CF83" s="156">
        <v>23585</v>
      </c>
      <c r="CG83" s="50">
        <v>1136987</v>
      </c>
      <c r="CH83" s="116">
        <v>136058</v>
      </c>
      <c r="CI83" s="49">
        <v>5865.72</v>
      </c>
      <c r="CJ83" s="159">
        <v>22919</v>
      </c>
      <c r="CK83" s="50">
        <v>873090</v>
      </c>
      <c r="CL83" s="116">
        <v>199128</v>
      </c>
      <c r="CM83" s="49">
        <v>16335.79</v>
      </c>
      <c r="CN83" s="159">
        <v>15487</v>
      </c>
      <c r="CO83" s="50">
        <v>810056</v>
      </c>
    </row>
    <row r="84" spans="1:93" s="52" customFormat="1" ht="11.25">
      <c r="A84" s="14" t="s">
        <v>53</v>
      </c>
      <c r="B84" s="48"/>
      <c r="C84" s="49">
        <f>238.29*2.2046</f>
        <v>525.3341340000001</v>
      </c>
      <c r="D84" s="49">
        <v>20864</v>
      </c>
      <c r="E84" s="50">
        <v>15196</v>
      </c>
      <c r="F84" s="48"/>
      <c r="G84" s="49">
        <f>500.27*2.2046</f>
        <v>1102.895242</v>
      </c>
      <c r="H84" s="49">
        <v>6272</v>
      </c>
      <c r="I84" s="50">
        <v>5448</v>
      </c>
      <c r="J84" s="48"/>
      <c r="K84" s="49">
        <f>119.29*2.2046</f>
        <v>262.986734</v>
      </c>
      <c r="L84" s="49">
        <v>2006</v>
      </c>
      <c r="M84" s="50">
        <v>0</v>
      </c>
      <c r="N84" s="48"/>
      <c r="O84" s="49">
        <f>240.53*2.2046</f>
        <v>530.2724380000001</v>
      </c>
      <c r="P84" s="49">
        <v>33580</v>
      </c>
      <c r="Q84" s="50">
        <v>18737</v>
      </c>
      <c r="R84" s="48"/>
      <c r="S84" s="49">
        <f>160.17*2.2046</f>
        <v>353.110782</v>
      </c>
      <c r="T84" s="49">
        <v>0</v>
      </c>
      <c r="U84" s="50">
        <v>7822</v>
      </c>
      <c r="V84" s="48"/>
      <c r="W84" s="49">
        <f>135.39*2.2046</f>
        <v>298.480794</v>
      </c>
      <c r="X84" s="49">
        <v>0</v>
      </c>
      <c r="Y84" s="50">
        <v>2235</v>
      </c>
      <c r="Z84" s="48">
        <v>7</v>
      </c>
      <c r="AA84" s="49">
        <f>1414.42*2.2046</f>
        <v>3118.2303320000005</v>
      </c>
      <c r="AB84" s="49">
        <v>337</v>
      </c>
      <c r="AC84" s="50">
        <v>0</v>
      </c>
      <c r="AD84" s="48">
        <v>102</v>
      </c>
      <c r="AE84" s="49">
        <f>1459.62*2.2046</f>
        <v>3217.878252</v>
      </c>
      <c r="AF84" s="49">
        <v>1058</v>
      </c>
      <c r="AG84" s="50">
        <v>6921</v>
      </c>
      <c r="AH84" s="48">
        <v>1078</v>
      </c>
      <c r="AI84" s="49">
        <f>889.81*2.2046</f>
        <v>1961.675126</v>
      </c>
      <c r="AJ84" s="49">
        <v>489</v>
      </c>
      <c r="AK84" s="50">
        <v>3984</v>
      </c>
      <c r="AL84" s="48">
        <v>5197</v>
      </c>
      <c r="AM84" s="49">
        <f>233.5*2.2046</f>
        <v>514.7741</v>
      </c>
      <c r="AN84" s="49">
        <v>0</v>
      </c>
      <c r="AO84" s="50">
        <v>0</v>
      </c>
      <c r="AP84" s="48">
        <v>4057</v>
      </c>
      <c r="AQ84" s="49">
        <f>338.79*2.2046</f>
        <v>746.8964340000001</v>
      </c>
      <c r="AR84" s="49">
        <v>49</v>
      </c>
      <c r="AS84" s="50">
        <v>7511</v>
      </c>
      <c r="AT84" s="48">
        <v>2341</v>
      </c>
      <c r="AU84" s="49">
        <f>588.32*2.2046</f>
        <v>1297.0102720000002</v>
      </c>
      <c r="AV84" s="49">
        <v>0</v>
      </c>
      <c r="AW84" s="50">
        <v>9700</v>
      </c>
      <c r="AX84" s="48">
        <v>1192</v>
      </c>
      <c r="AY84" s="49">
        <f>829.08*2.2046</f>
        <v>1827.789768</v>
      </c>
      <c r="AZ84" s="49">
        <v>2524</v>
      </c>
      <c r="BA84" s="50">
        <v>7959</v>
      </c>
      <c r="BB84" s="48">
        <v>1951</v>
      </c>
      <c r="BC84" s="49">
        <f>473.53*2.2046</f>
        <v>1043.944238</v>
      </c>
      <c r="BD84" s="49">
        <v>163</v>
      </c>
      <c r="BE84" s="50">
        <v>3095</v>
      </c>
      <c r="BF84" s="48">
        <v>2826</v>
      </c>
      <c r="BG84" s="49">
        <f>248.55*2.2046</f>
        <v>547.95333</v>
      </c>
      <c r="BH84" s="49">
        <v>0</v>
      </c>
      <c r="BI84" s="50">
        <v>0</v>
      </c>
      <c r="BJ84" s="48">
        <v>6612</v>
      </c>
      <c r="BK84" s="49">
        <f>1087.26*2.2046</f>
        <v>2396.9733960000003</v>
      </c>
      <c r="BL84" s="49">
        <v>1043</v>
      </c>
      <c r="BM84" s="51">
        <v>12613</v>
      </c>
      <c r="BN84" s="48">
        <v>4000</v>
      </c>
      <c r="BO84" s="49">
        <v>2046</v>
      </c>
      <c r="BP84" s="49">
        <v>0</v>
      </c>
      <c r="BQ84" s="51">
        <v>1761</v>
      </c>
      <c r="BR84" s="48">
        <v>3368</v>
      </c>
      <c r="BS84" s="49">
        <v>410</v>
      </c>
      <c r="BT84" s="49">
        <v>0</v>
      </c>
      <c r="BU84" s="120">
        <v>0</v>
      </c>
      <c r="BV84" s="116">
        <v>7922</v>
      </c>
      <c r="BW84" s="49">
        <v>317.46</v>
      </c>
      <c r="BX84" s="49">
        <v>0</v>
      </c>
      <c r="BY84" s="50">
        <v>0</v>
      </c>
      <c r="BZ84" s="48">
        <v>3982</v>
      </c>
      <c r="CA84" s="49">
        <v>595.37</v>
      </c>
      <c r="CB84" s="160">
        <v>756</v>
      </c>
      <c r="CC84" s="186">
        <v>3783</v>
      </c>
      <c r="CD84" s="116">
        <v>4439</v>
      </c>
      <c r="CE84" s="49">
        <v>418.87</v>
      </c>
      <c r="CF84" s="49">
        <v>0</v>
      </c>
      <c r="CG84" s="173">
        <v>355</v>
      </c>
      <c r="CH84" s="116">
        <v>7036</v>
      </c>
      <c r="CI84" s="49">
        <v>262.67</v>
      </c>
      <c r="CJ84" s="49">
        <v>0</v>
      </c>
      <c r="CK84" s="173">
        <v>0</v>
      </c>
      <c r="CL84" s="116">
        <v>4275</v>
      </c>
      <c r="CM84" s="49">
        <v>70.62</v>
      </c>
      <c r="CN84" s="49">
        <v>5994</v>
      </c>
      <c r="CO84" s="173">
        <v>5714</v>
      </c>
    </row>
    <row r="85" spans="1:93" s="52" customFormat="1" ht="11.25">
      <c r="A85" s="14" t="s">
        <v>77</v>
      </c>
      <c r="B85" s="48">
        <v>519784</v>
      </c>
      <c r="C85" s="49">
        <f>220.54*2.2046</f>
        <v>486.202484</v>
      </c>
      <c r="D85" s="49">
        <v>2002</v>
      </c>
      <c r="E85" s="50">
        <v>571150</v>
      </c>
      <c r="F85" s="48">
        <v>1000730</v>
      </c>
      <c r="G85" s="49">
        <f>806.46*2.2046</f>
        <v>1777.921716</v>
      </c>
      <c r="H85" s="49">
        <v>38270</v>
      </c>
      <c r="I85" s="50">
        <v>383637</v>
      </c>
      <c r="J85" s="48">
        <v>907872</v>
      </c>
      <c r="K85" s="49">
        <f>178.64*2.2046</f>
        <v>393.829744</v>
      </c>
      <c r="L85" s="49">
        <v>57701</v>
      </c>
      <c r="M85" s="50">
        <v>674938</v>
      </c>
      <c r="N85" s="48">
        <v>1050966</v>
      </c>
      <c r="O85" s="49">
        <f>24*2.2046</f>
        <v>52.9104</v>
      </c>
      <c r="P85" s="49">
        <v>7806</v>
      </c>
      <c r="Q85" s="50">
        <v>739940</v>
      </c>
      <c r="R85" s="48">
        <v>814008</v>
      </c>
      <c r="S85" s="49">
        <f>24.4*2.2046</f>
        <v>53.79224</v>
      </c>
      <c r="T85" s="49">
        <v>9711</v>
      </c>
      <c r="U85" s="50">
        <v>268785</v>
      </c>
      <c r="V85" s="48">
        <v>710050</v>
      </c>
      <c r="W85" s="49">
        <f>577.13*2.2046</f>
        <v>1272.340798</v>
      </c>
      <c r="X85" s="49">
        <v>3752</v>
      </c>
      <c r="Y85" s="50">
        <v>745426</v>
      </c>
      <c r="Z85" s="48">
        <v>763052</v>
      </c>
      <c r="AA85" s="49">
        <f>271.6*2.2046</f>
        <v>598.7693600000001</v>
      </c>
      <c r="AB85" s="49">
        <v>8990</v>
      </c>
      <c r="AC85" s="50">
        <v>687266</v>
      </c>
      <c r="AD85" s="48">
        <v>507756</v>
      </c>
      <c r="AE85" s="49">
        <f>719.9*2.2046</f>
        <v>1587.0915400000001</v>
      </c>
      <c r="AF85" s="49">
        <v>17520</v>
      </c>
      <c r="AG85" s="50">
        <v>471679</v>
      </c>
      <c r="AH85" s="48">
        <v>521837</v>
      </c>
      <c r="AI85" s="49">
        <f>77.86*2.2046</f>
        <v>171.650156</v>
      </c>
      <c r="AJ85" s="49">
        <v>12377</v>
      </c>
      <c r="AK85" s="50">
        <v>538339</v>
      </c>
      <c r="AL85" s="48">
        <v>353048</v>
      </c>
      <c r="AM85" s="49">
        <f>618.41*2.2046</f>
        <v>1363.346686</v>
      </c>
      <c r="AN85" s="49">
        <v>165</v>
      </c>
      <c r="AO85" s="50">
        <v>985225</v>
      </c>
      <c r="AP85" s="48">
        <v>383306</v>
      </c>
      <c r="AQ85" s="49">
        <f>902.71*2.2046</f>
        <v>1990.1144660000002</v>
      </c>
      <c r="AR85" s="49">
        <v>60571</v>
      </c>
      <c r="AS85" s="50">
        <v>1456222</v>
      </c>
      <c r="AT85" s="48">
        <v>306711</v>
      </c>
      <c r="AU85" s="49">
        <f>514.18*2.2046</f>
        <v>1133.561228</v>
      </c>
      <c r="AV85" s="49">
        <v>3512</v>
      </c>
      <c r="AW85" s="50">
        <v>512210</v>
      </c>
      <c r="AX85" s="48">
        <v>294567</v>
      </c>
      <c r="AY85" s="49">
        <f>272.06*2.2046</f>
        <v>599.7834760000001</v>
      </c>
      <c r="AZ85" s="49">
        <v>6722</v>
      </c>
      <c r="BA85" s="50">
        <v>390082</v>
      </c>
      <c r="BB85" s="48">
        <v>299822</v>
      </c>
      <c r="BC85" s="49">
        <f>39.66*2.2046</f>
        <v>87.43443599999999</v>
      </c>
      <c r="BD85" s="49">
        <v>14083</v>
      </c>
      <c r="BE85" s="50">
        <v>721773</v>
      </c>
      <c r="BF85" s="48">
        <v>249807</v>
      </c>
      <c r="BG85" s="49">
        <f>22.20469*2.2046</f>
        <v>48.952459574</v>
      </c>
      <c r="BH85" s="49">
        <v>38662</v>
      </c>
      <c r="BI85" s="50">
        <v>1149457</v>
      </c>
      <c r="BJ85" s="48">
        <v>216897</v>
      </c>
      <c r="BK85" s="49">
        <f>154.01*2.2046</f>
        <v>339.530446</v>
      </c>
      <c r="BL85" s="49">
        <v>11186</v>
      </c>
      <c r="BM85" s="51">
        <v>949267</v>
      </c>
      <c r="BN85" s="48">
        <v>162060</v>
      </c>
      <c r="BO85" s="49">
        <v>347</v>
      </c>
      <c r="BP85" s="49">
        <v>16594</v>
      </c>
      <c r="BQ85" s="51">
        <v>613470</v>
      </c>
      <c r="BR85" s="48">
        <v>167730</v>
      </c>
      <c r="BS85" s="49">
        <v>347</v>
      </c>
      <c r="BT85" s="49">
        <v>25325</v>
      </c>
      <c r="BU85" s="120">
        <v>724533</v>
      </c>
      <c r="BV85" s="116">
        <v>153686</v>
      </c>
      <c r="BW85" s="49">
        <v>3053.35</v>
      </c>
      <c r="BX85" s="161">
        <v>10445</v>
      </c>
      <c r="BY85" s="50">
        <v>1062276</v>
      </c>
      <c r="BZ85" s="48">
        <v>183737</v>
      </c>
      <c r="CA85" s="49">
        <v>3203.64</v>
      </c>
      <c r="CB85" s="161">
        <v>3399</v>
      </c>
      <c r="CC85" s="120">
        <v>737207</v>
      </c>
      <c r="CD85" s="116">
        <v>191250</v>
      </c>
      <c r="CE85" s="49">
        <v>3976.48</v>
      </c>
      <c r="CF85" s="161">
        <v>2769</v>
      </c>
      <c r="CG85" s="50">
        <v>407161</v>
      </c>
      <c r="CH85" s="116">
        <v>163687</v>
      </c>
      <c r="CI85" s="49">
        <v>2430.87</v>
      </c>
      <c r="CJ85" s="161">
        <v>10187</v>
      </c>
      <c r="CK85" s="50">
        <v>530251</v>
      </c>
      <c r="CL85" s="116">
        <v>245868</v>
      </c>
      <c r="CM85" s="49">
        <v>515.09</v>
      </c>
      <c r="CN85" s="161">
        <v>1986</v>
      </c>
      <c r="CO85" s="50">
        <v>525705</v>
      </c>
    </row>
    <row r="86" spans="1:93" s="2" customFormat="1" ht="12" thickBot="1">
      <c r="A86" s="28" t="s">
        <v>54</v>
      </c>
      <c r="B86" s="65"/>
      <c r="C86" s="66"/>
      <c r="D86" s="66"/>
      <c r="E86" s="67"/>
      <c r="F86" s="65"/>
      <c r="G86" s="66"/>
      <c r="H86" s="66"/>
      <c r="I86" s="67"/>
      <c r="J86" s="65"/>
      <c r="K86" s="66"/>
      <c r="L86" s="66"/>
      <c r="M86" s="67"/>
      <c r="N86" s="65"/>
      <c r="O86" s="66"/>
      <c r="P86" s="66"/>
      <c r="Q86" s="67"/>
      <c r="R86" s="65"/>
      <c r="S86" s="66"/>
      <c r="T86" s="66"/>
      <c r="U86" s="67"/>
      <c r="V86" s="65"/>
      <c r="W86" s="66"/>
      <c r="X86" s="66"/>
      <c r="Y86" s="67"/>
      <c r="Z86" s="65"/>
      <c r="AA86" s="66"/>
      <c r="AB86" s="66"/>
      <c r="AC86" s="67"/>
      <c r="AD86" s="65"/>
      <c r="AE86" s="66"/>
      <c r="AF86" s="66"/>
      <c r="AG86" s="67"/>
      <c r="AH86" s="65"/>
      <c r="AI86" s="66"/>
      <c r="AJ86" s="66"/>
      <c r="AK86" s="67"/>
      <c r="AL86" s="65">
        <v>93341</v>
      </c>
      <c r="AM86" s="66"/>
      <c r="AN86" s="66"/>
      <c r="AO86" s="67"/>
      <c r="AP86" s="65">
        <v>109841</v>
      </c>
      <c r="AQ86" s="66"/>
      <c r="AR86" s="66"/>
      <c r="AS86" s="67"/>
      <c r="AT86" s="65">
        <v>87217</v>
      </c>
      <c r="AU86" s="66"/>
      <c r="AV86" s="66"/>
      <c r="AW86" s="67"/>
      <c r="AX86" s="65">
        <v>74073</v>
      </c>
      <c r="AY86" s="66"/>
      <c r="AZ86" s="66"/>
      <c r="BA86" s="67"/>
      <c r="BB86" s="65">
        <v>45921</v>
      </c>
      <c r="BC86" s="66"/>
      <c r="BD86" s="66"/>
      <c r="BE86" s="67"/>
      <c r="BF86" s="65">
        <v>24847</v>
      </c>
      <c r="BG86" s="66"/>
      <c r="BH86" s="66"/>
      <c r="BI86" s="67"/>
      <c r="BJ86" s="65">
        <v>22500</v>
      </c>
      <c r="BK86" s="66"/>
      <c r="BL86" s="66"/>
      <c r="BM86" s="68"/>
      <c r="BN86" s="65">
        <v>27878</v>
      </c>
      <c r="BO86" s="66"/>
      <c r="BP86" s="66"/>
      <c r="BQ86" s="68"/>
      <c r="BR86" s="65">
        <v>14634</v>
      </c>
      <c r="BS86" s="66"/>
      <c r="BT86" s="66"/>
      <c r="BU86" s="183"/>
      <c r="BV86" s="145">
        <v>22460</v>
      </c>
      <c r="BW86" s="62"/>
      <c r="BX86" s="62"/>
      <c r="BY86" s="63"/>
      <c r="BZ86" s="65">
        <v>21152</v>
      </c>
      <c r="CA86" s="66"/>
      <c r="CB86" s="66"/>
      <c r="CC86" s="183"/>
      <c r="CD86" s="145">
        <v>20582</v>
      </c>
      <c r="CE86" s="62"/>
      <c r="CF86" s="62"/>
      <c r="CG86" s="63"/>
      <c r="CH86" s="145">
        <v>20814</v>
      </c>
      <c r="CI86" s="62"/>
      <c r="CJ86" s="62"/>
      <c r="CK86" s="63"/>
      <c r="CL86" s="145">
        <v>41922</v>
      </c>
      <c r="CM86" s="62"/>
      <c r="CN86" s="62"/>
      <c r="CO86" s="63"/>
    </row>
    <row r="87" spans="1:93" ht="12.75" thickBot="1" thickTop="1">
      <c r="A87" s="27" t="s">
        <v>74</v>
      </c>
      <c r="B87" s="69"/>
      <c r="C87" s="70"/>
      <c r="D87" s="70"/>
      <c r="E87" s="71"/>
      <c r="F87" s="69"/>
      <c r="G87" s="70"/>
      <c r="H87" s="70"/>
      <c r="I87" s="71"/>
      <c r="J87" s="69"/>
      <c r="K87" s="70"/>
      <c r="L87" s="70"/>
      <c r="M87" s="71"/>
      <c r="N87" s="69"/>
      <c r="O87" s="70"/>
      <c r="P87" s="70"/>
      <c r="Q87" s="71"/>
      <c r="R87" s="69"/>
      <c r="S87" s="70"/>
      <c r="T87" s="70"/>
      <c r="U87" s="71"/>
      <c r="V87" s="69"/>
      <c r="W87" s="70"/>
      <c r="X87" s="70"/>
      <c r="Y87" s="71"/>
      <c r="Z87" s="69"/>
      <c r="AA87" s="70"/>
      <c r="AB87" s="70"/>
      <c r="AC87" s="71"/>
      <c r="AD87" s="69"/>
      <c r="AE87" s="70"/>
      <c r="AF87" s="70"/>
      <c r="AG87" s="71"/>
      <c r="AH87" s="69"/>
      <c r="AI87" s="70"/>
      <c r="AJ87" s="70"/>
      <c r="AK87" s="71"/>
      <c r="AL87" s="69"/>
      <c r="AM87" s="70"/>
      <c r="AN87" s="70"/>
      <c r="AO87" s="71"/>
      <c r="AP87" s="69"/>
      <c r="AQ87" s="70"/>
      <c r="AR87" s="70"/>
      <c r="AS87" s="71"/>
      <c r="AT87" s="69"/>
      <c r="AU87" s="70"/>
      <c r="AV87" s="70"/>
      <c r="AW87" s="71"/>
      <c r="AX87" s="69"/>
      <c r="AY87" s="70"/>
      <c r="AZ87" s="70"/>
      <c r="BA87" s="71"/>
      <c r="BB87" s="69"/>
      <c r="BC87" s="70"/>
      <c r="BD87" s="70"/>
      <c r="BE87" s="71"/>
      <c r="BF87" s="69"/>
      <c r="BG87" s="70"/>
      <c r="BH87" s="70"/>
      <c r="BI87" s="71"/>
      <c r="BJ87" s="69"/>
      <c r="BK87" s="70"/>
      <c r="BL87" s="70"/>
      <c r="BM87" s="72"/>
      <c r="BN87" s="69"/>
      <c r="BO87" s="70"/>
      <c r="BP87" s="70"/>
      <c r="BQ87" s="72"/>
      <c r="BR87" s="69"/>
      <c r="BS87" s="70"/>
      <c r="BT87" s="70"/>
      <c r="BU87" s="72"/>
      <c r="BV87" s="141"/>
      <c r="BW87" s="142"/>
      <c r="BX87" s="142"/>
      <c r="BY87" s="184"/>
      <c r="BZ87" s="69"/>
      <c r="CA87" s="70"/>
      <c r="CB87" s="70"/>
      <c r="CC87" s="72"/>
      <c r="CD87" s="141"/>
      <c r="CE87" s="142"/>
      <c r="CF87" s="142"/>
      <c r="CG87" s="184"/>
      <c r="CH87" s="141"/>
      <c r="CI87" s="142"/>
      <c r="CJ87" s="142"/>
      <c r="CK87" s="184"/>
      <c r="CL87" s="141"/>
      <c r="CM87" s="142"/>
      <c r="CN87" s="142"/>
      <c r="CO87" s="184"/>
    </row>
    <row r="88" spans="1:93" ht="11.25">
      <c r="A88" s="29" t="s">
        <v>67</v>
      </c>
      <c r="B88" s="40"/>
      <c r="C88" s="41"/>
      <c r="D88" s="41"/>
      <c r="E88" s="42"/>
      <c r="F88" s="40"/>
      <c r="G88" s="41"/>
      <c r="H88" s="41"/>
      <c r="I88" s="42"/>
      <c r="J88" s="40"/>
      <c r="K88" s="41"/>
      <c r="L88" s="41"/>
      <c r="M88" s="42"/>
      <c r="N88" s="40"/>
      <c r="O88" s="41"/>
      <c r="P88" s="41"/>
      <c r="Q88" s="42"/>
      <c r="R88" s="40"/>
      <c r="S88" s="41"/>
      <c r="T88" s="41"/>
      <c r="U88" s="42"/>
      <c r="V88" s="40"/>
      <c r="W88" s="41"/>
      <c r="X88" s="41"/>
      <c r="Y88" s="42"/>
      <c r="Z88" s="40"/>
      <c r="AA88" s="41"/>
      <c r="AB88" s="41"/>
      <c r="AC88" s="42"/>
      <c r="AD88" s="40"/>
      <c r="AE88" s="41"/>
      <c r="AF88" s="41"/>
      <c r="AG88" s="42"/>
      <c r="AH88" s="40"/>
      <c r="AI88" s="41"/>
      <c r="AJ88" s="41"/>
      <c r="AK88" s="42"/>
      <c r="AL88" s="40"/>
      <c r="AM88" s="41"/>
      <c r="AN88" s="41"/>
      <c r="AO88" s="42"/>
      <c r="AP88" s="40"/>
      <c r="AQ88" s="41"/>
      <c r="AR88" s="41"/>
      <c r="AS88" s="42"/>
      <c r="AT88" s="40"/>
      <c r="AU88" s="41"/>
      <c r="AV88" s="41"/>
      <c r="AW88" s="42"/>
      <c r="AX88" s="40"/>
      <c r="AY88" s="41"/>
      <c r="AZ88" s="41"/>
      <c r="BA88" s="42"/>
      <c r="BB88" s="40"/>
      <c r="BC88" s="41"/>
      <c r="BD88" s="41"/>
      <c r="BE88" s="42"/>
      <c r="BF88" s="40"/>
      <c r="BG88" s="41"/>
      <c r="BH88" s="41"/>
      <c r="BI88" s="42"/>
      <c r="BJ88" s="40"/>
      <c r="BK88" s="41"/>
      <c r="BL88" s="41"/>
      <c r="BM88" s="43"/>
      <c r="BN88" s="40"/>
      <c r="BO88" s="41"/>
      <c r="BP88" s="41"/>
      <c r="BQ88" s="43"/>
      <c r="BR88" s="40"/>
      <c r="BS88" s="41"/>
      <c r="BT88" s="41"/>
      <c r="BU88" s="136"/>
      <c r="BV88" s="143"/>
      <c r="BW88" s="144"/>
      <c r="BX88" s="144"/>
      <c r="BY88" s="115"/>
      <c r="BZ88" s="143"/>
      <c r="CA88" s="144"/>
      <c r="CB88" s="144"/>
      <c r="CC88" s="115"/>
      <c r="CD88" s="143"/>
      <c r="CE88" s="144"/>
      <c r="CF88" s="144"/>
      <c r="CG88" s="115"/>
      <c r="CH88" s="143"/>
      <c r="CI88" s="144"/>
      <c r="CJ88" s="144"/>
      <c r="CK88" s="115"/>
      <c r="CL88" s="143"/>
      <c r="CM88" s="144"/>
      <c r="CN88" s="144"/>
      <c r="CO88" s="115"/>
    </row>
    <row r="89" spans="1:93" s="2" customFormat="1" ht="12" thickBot="1">
      <c r="A89" s="17" t="s">
        <v>1</v>
      </c>
      <c r="B89" s="61">
        <v>682851</v>
      </c>
      <c r="C89" s="62">
        <v>224084</v>
      </c>
      <c r="D89" s="62">
        <v>2834</v>
      </c>
      <c r="E89" s="63">
        <v>16616</v>
      </c>
      <c r="F89" s="61">
        <v>578132</v>
      </c>
      <c r="G89" s="62">
        <v>220473</v>
      </c>
      <c r="H89" s="62">
        <v>24470</v>
      </c>
      <c r="I89" s="63">
        <v>49480</v>
      </c>
      <c r="J89" s="61">
        <v>632604</v>
      </c>
      <c r="K89" s="62">
        <v>215531</v>
      </c>
      <c r="L89" s="62">
        <v>71004</v>
      </c>
      <c r="M89" s="63">
        <v>94549</v>
      </c>
      <c r="N89" s="61">
        <v>671134</v>
      </c>
      <c r="O89" s="62">
        <v>165047</v>
      </c>
      <c r="P89" s="62">
        <v>100501</v>
      </c>
      <c r="Q89" s="63">
        <v>35889</v>
      </c>
      <c r="R89" s="61">
        <v>765787</v>
      </c>
      <c r="S89" s="62">
        <v>125263</v>
      </c>
      <c r="T89" s="62">
        <v>15602</v>
      </c>
      <c r="U89" s="63">
        <v>30898</v>
      </c>
      <c r="V89" s="61">
        <v>570131</v>
      </c>
      <c r="W89" s="62">
        <v>140818</v>
      </c>
      <c r="X89" s="62">
        <v>12697</v>
      </c>
      <c r="Y89" s="63">
        <v>32497</v>
      </c>
      <c r="Z89" s="61">
        <v>299907</v>
      </c>
      <c r="AA89" s="62">
        <v>109856</v>
      </c>
      <c r="AB89" s="62">
        <v>71680</v>
      </c>
      <c r="AC89" s="63">
        <v>44547</v>
      </c>
      <c r="AD89" s="61">
        <v>297549</v>
      </c>
      <c r="AE89" s="62">
        <v>101025</v>
      </c>
      <c r="AF89" s="62">
        <v>41267</v>
      </c>
      <c r="AG89" s="63">
        <v>23618</v>
      </c>
      <c r="AH89" s="61">
        <v>352618</v>
      </c>
      <c r="AI89" s="62">
        <v>87570</v>
      </c>
      <c r="AJ89" s="62">
        <v>22900</v>
      </c>
      <c r="AK89" s="63">
        <v>21378</v>
      </c>
      <c r="AL89" s="61">
        <v>345506</v>
      </c>
      <c r="AM89" s="62">
        <v>93031</v>
      </c>
      <c r="AN89" s="62">
        <v>93362</v>
      </c>
      <c r="AO89" s="63">
        <v>5414</v>
      </c>
      <c r="AP89" s="61">
        <v>365626</v>
      </c>
      <c r="AQ89" s="62">
        <v>82217</v>
      </c>
      <c r="AR89" s="62">
        <v>35965</v>
      </c>
      <c r="AS89" s="63">
        <v>96220</v>
      </c>
      <c r="AT89" s="61">
        <v>359726</v>
      </c>
      <c r="AU89" s="62">
        <v>75297</v>
      </c>
      <c r="AV89" s="62">
        <v>11003</v>
      </c>
      <c r="AW89" s="63">
        <v>6532</v>
      </c>
      <c r="AX89" s="61">
        <v>299025</v>
      </c>
      <c r="AY89" s="62">
        <v>69261</v>
      </c>
      <c r="AZ89" s="62">
        <v>7985</v>
      </c>
      <c r="BA89" s="63">
        <v>3723</v>
      </c>
      <c r="BB89" s="61">
        <v>98341</v>
      </c>
      <c r="BC89" s="62">
        <v>48788</v>
      </c>
      <c r="BD89" s="62">
        <v>24333</v>
      </c>
      <c r="BE89" s="63">
        <v>11699</v>
      </c>
      <c r="BF89" s="61">
        <v>17774</v>
      </c>
      <c r="BG89" s="62">
        <v>13905</v>
      </c>
      <c r="BH89" s="62">
        <v>8171</v>
      </c>
      <c r="BI89" s="63">
        <v>580</v>
      </c>
      <c r="BJ89" s="61">
        <v>63001</v>
      </c>
      <c r="BK89" s="62">
        <v>46308</v>
      </c>
      <c r="BL89" s="62">
        <v>18730</v>
      </c>
      <c r="BM89" s="64">
        <v>9028</v>
      </c>
      <c r="BN89" s="61">
        <v>58452</v>
      </c>
      <c r="BO89" s="62">
        <v>33341</v>
      </c>
      <c r="BP89" s="62">
        <v>23194</v>
      </c>
      <c r="BQ89" s="64">
        <v>5591</v>
      </c>
      <c r="BR89" s="61">
        <v>76064</v>
      </c>
      <c r="BS89" s="62">
        <v>34742</v>
      </c>
      <c r="BT89" s="62">
        <v>19241</v>
      </c>
      <c r="BU89" s="147">
        <v>23850</v>
      </c>
      <c r="BV89" s="145">
        <v>49017</v>
      </c>
      <c r="BW89" s="62">
        <v>49312.18</v>
      </c>
      <c r="BX89" s="187">
        <v>29747</v>
      </c>
      <c r="BY89" s="188">
        <v>29747</v>
      </c>
      <c r="BZ89" s="145">
        <v>47870</v>
      </c>
      <c r="CA89" s="62">
        <v>42142.36</v>
      </c>
      <c r="CB89" s="187">
        <v>10386</v>
      </c>
      <c r="CC89" s="63">
        <v>36942</v>
      </c>
      <c r="CD89" s="145">
        <v>83276</v>
      </c>
      <c r="CE89" s="62">
        <v>67678.37</v>
      </c>
      <c r="CF89" s="187">
        <v>19050</v>
      </c>
      <c r="CG89" s="63">
        <v>25027</v>
      </c>
      <c r="CH89" s="145">
        <v>141521</v>
      </c>
      <c r="CI89" s="62">
        <v>117333.95</v>
      </c>
      <c r="CJ89" s="187">
        <v>41784</v>
      </c>
      <c r="CK89" s="63">
        <v>33629</v>
      </c>
      <c r="CL89" s="145">
        <v>165327</v>
      </c>
      <c r="CM89" s="62">
        <v>52597.54</v>
      </c>
      <c r="CN89" s="187">
        <v>34220</v>
      </c>
      <c r="CO89" s="63">
        <v>72234</v>
      </c>
    </row>
    <row r="90" spans="1:93" ht="11.25">
      <c r="A90" s="29" t="s">
        <v>68</v>
      </c>
      <c r="B90" s="40"/>
      <c r="C90" s="41"/>
      <c r="D90" s="41"/>
      <c r="E90" s="42"/>
      <c r="F90" s="40"/>
      <c r="G90" s="41"/>
      <c r="H90" s="41"/>
      <c r="I90" s="42"/>
      <c r="J90" s="40"/>
      <c r="K90" s="41"/>
      <c r="L90" s="41"/>
      <c r="M90" s="42"/>
      <c r="N90" s="40"/>
      <c r="O90" s="41"/>
      <c r="P90" s="41"/>
      <c r="Q90" s="42"/>
      <c r="R90" s="40"/>
      <c r="S90" s="41"/>
      <c r="T90" s="41"/>
      <c r="U90" s="42"/>
      <c r="V90" s="40"/>
      <c r="W90" s="41"/>
      <c r="X90" s="41"/>
      <c r="Y90" s="42"/>
      <c r="Z90" s="40"/>
      <c r="AA90" s="41"/>
      <c r="AB90" s="41"/>
      <c r="AC90" s="42"/>
      <c r="AD90" s="40"/>
      <c r="AE90" s="41"/>
      <c r="AF90" s="41"/>
      <c r="AG90" s="42"/>
      <c r="AH90" s="40"/>
      <c r="AI90" s="41"/>
      <c r="AJ90" s="41"/>
      <c r="AK90" s="42"/>
      <c r="AL90" s="40"/>
      <c r="AM90" s="41"/>
      <c r="AN90" s="41"/>
      <c r="AO90" s="42"/>
      <c r="AP90" s="40"/>
      <c r="AQ90" s="41"/>
      <c r="AR90" s="41"/>
      <c r="AS90" s="42"/>
      <c r="AT90" s="40"/>
      <c r="AU90" s="41"/>
      <c r="AV90" s="41"/>
      <c r="AW90" s="42"/>
      <c r="AX90" s="40"/>
      <c r="AY90" s="41"/>
      <c r="AZ90" s="41"/>
      <c r="BA90" s="42"/>
      <c r="BB90" s="40"/>
      <c r="BC90" s="41"/>
      <c r="BD90" s="41"/>
      <c r="BE90" s="42"/>
      <c r="BF90" s="40"/>
      <c r="BG90" s="41"/>
      <c r="BH90" s="41"/>
      <c r="BI90" s="42"/>
      <c r="BJ90" s="40"/>
      <c r="BK90" s="41"/>
      <c r="BL90" s="41"/>
      <c r="BM90" s="43"/>
      <c r="BN90" s="40"/>
      <c r="BO90" s="41"/>
      <c r="BP90" s="41"/>
      <c r="BQ90" s="43"/>
      <c r="BR90" s="40"/>
      <c r="BS90" s="41"/>
      <c r="BT90" s="41"/>
      <c r="BU90" s="136"/>
      <c r="BV90" s="143"/>
      <c r="BW90" s="144"/>
      <c r="BX90" s="144"/>
      <c r="BY90" s="115"/>
      <c r="BZ90" s="143"/>
      <c r="CA90" s="144"/>
      <c r="CB90" s="144"/>
      <c r="CC90" s="115"/>
      <c r="CD90" s="143"/>
      <c r="CE90" s="144"/>
      <c r="CF90" s="144"/>
      <c r="CG90" s="115"/>
      <c r="CH90" s="143"/>
      <c r="CI90" s="144"/>
      <c r="CJ90" s="144"/>
      <c r="CK90" s="115"/>
      <c r="CL90" s="143"/>
      <c r="CM90" s="144"/>
      <c r="CN90" s="144"/>
      <c r="CO90" s="115"/>
    </row>
    <row r="91" spans="1:93" s="2" customFormat="1" ht="11.25">
      <c r="A91" s="12" t="s">
        <v>65</v>
      </c>
      <c r="B91" s="44"/>
      <c r="C91" s="45">
        <f>89248*2.2046</f>
        <v>196756.14080000002</v>
      </c>
      <c r="D91" s="45">
        <v>0</v>
      </c>
      <c r="E91" s="46">
        <v>94864</v>
      </c>
      <c r="F91" s="44"/>
      <c r="G91" s="45">
        <f>113641*2.2046</f>
        <v>250532.9486</v>
      </c>
      <c r="H91" s="45">
        <v>17304</v>
      </c>
      <c r="I91" s="46">
        <v>151512</v>
      </c>
      <c r="J91" s="44"/>
      <c r="K91" s="45">
        <f>123221*2.2046</f>
        <v>271653.01660000003</v>
      </c>
      <c r="L91" s="45">
        <v>23183</v>
      </c>
      <c r="M91" s="46">
        <v>50719</v>
      </c>
      <c r="N91" s="44"/>
      <c r="O91" s="45">
        <f>111116*2.2046</f>
        <v>244966.3336</v>
      </c>
      <c r="P91" s="45">
        <f>20996*2.2046</f>
        <v>46287.7816</v>
      </c>
      <c r="Q91" s="46">
        <v>72662</v>
      </c>
      <c r="R91" s="44"/>
      <c r="S91" s="45">
        <f>122979*2.2046</f>
        <v>271119.5034</v>
      </c>
      <c r="T91" s="45">
        <v>34005</v>
      </c>
      <c r="U91" s="46">
        <v>350678</v>
      </c>
      <c r="V91" s="44">
        <f>16*2.2046</f>
        <v>35.2736</v>
      </c>
      <c r="W91" s="45">
        <v>197396</v>
      </c>
      <c r="X91" s="45">
        <v>39981</v>
      </c>
      <c r="Y91" s="46">
        <v>357373</v>
      </c>
      <c r="Z91" s="44">
        <v>145</v>
      </c>
      <c r="AA91" s="45">
        <f>95762*2.2046</f>
        <v>211116.9052</v>
      </c>
      <c r="AB91" s="45">
        <v>97319</v>
      </c>
      <c r="AC91" s="46">
        <v>431325</v>
      </c>
      <c r="AD91" s="44">
        <f>32*2.2046</f>
        <v>70.5472</v>
      </c>
      <c r="AE91" s="45">
        <f>97876*2.2046</f>
        <v>215777.4296</v>
      </c>
      <c r="AF91" s="45">
        <v>73709</v>
      </c>
      <c r="AG91" s="46">
        <v>216529</v>
      </c>
      <c r="AH91" s="44">
        <v>358</v>
      </c>
      <c r="AI91" s="45">
        <f>105286*2.2046</f>
        <v>232113.5156</v>
      </c>
      <c r="AJ91" s="45">
        <v>67116</v>
      </c>
      <c r="AK91" s="46">
        <v>236779</v>
      </c>
      <c r="AL91" s="44">
        <v>939</v>
      </c>
      <c r="AM91" s="45">
        <f>100239*2.2046</f>
        <v>220986.89940000002</v>
      </c>
      <c r="AN91" s="45">
        <v>42581</v>
      </c>
      <c r="AO91" s="46">
        <v>80427</v>
      </c>
      <c r="AP91" s="44">
        <v>89</v>
      </c>
      <c r="AQ91" s="45">
        <f>88566*2.2046</f>
        <v>195252.6036</v>
      </c>
      <c r="AR91" s="45">
        <v>52669</v>
      </c>
      <c r="AS91" s="46">
        <v>143922</v>
      </c>
      <c r="AT91" s="44">
        <v>42</v>
      </c>
      <c r="AU91" s="45">
        <f>85599*2.2046</f>
        <v>188711.5554</v>
      </c>
      <c r="AV91" s="45">
        <v>53359</v>
      </c>
      <c r="AW91" s="46">
        <v>136599</v>
      </c>
      <c r="AX91" s="44">
        <v>10393</v>
      </c>
      <c r="AY91" s="45">
        <f>79050*2.2046</f>
        <v>174273.63</v>
      </c>
      <c r="AZ91" s="45">
        <v>23413</v>
      </c>
      <c r="BA91" s="46">
        <f>61293*2.2046</f>
        <v>135126.5478</v>
      </c>
      <c r="BB91" s="44">
        <v>10795</v>
      </c>
      <c r="BC91" s="45">
        <f>71377*2.2046</f>
        <v>157357.7342</v>
      </c>
      <c r="BD91" s="45">
        <v>36538</v>
      </c>
      <c r="BE91" s="46">
        <v>96914</v>
      </c>
      <c r="BF91" s="44">
        <v>11730</v>
      </c>
      <c r="BG91" s="45">
        <v>142236</v>
      </c>
      <c r="BH91" s="45">
        <v>6307</v>
      </c>
      <c r="BI91" s="46">
        <v>76905</v>
      </c>
      <c r="BJ91" s="44">
        <v>8462</v>
      </c>
      <c r="BK91" s="45">
        <f>61980*2.2046</f>
        <v>136641.108</v>
      </c>
      <c r="BL91" s="45">
        <v>65319</v>
      </c>
      <c r="BM91" s="47">
        <v>132458</v>
      </c>
      <c r="BN91" s="44">
        <v>10092</v>
      </c>
      <c r="BO91" s="45">
        <v>109529</v>
      </c>
      <c r="BP91" s="45">
        <v>100019</v>
      </c>
      <c r="BQ91" s="47">
        <v>105651</v>
      </c>
      <c r="BR91" s="44">
        <v>10217</v>
      </c>
      <c r="BS91" s="45">
        <v>116962</v>
      </c>
      <c r="BT91" s="45">
        <v>74165</v>
      </c>
      <c r="BU91" s="106">
        <v>143146</v>
      </c>
      <c r="BV91" s="129">
        <v>16928</v>
      </c>
      <c r="BW91" s="45">
        <v>167980.63</v>
      </c>
      <c r="BX91" s="159">
        <v>91447</v>
      </c>
      <c r="BY91" s="46">
        <v>120845</v>
      </c>
      <c r="BZ91" s="129">
        <v>18469</v>
      </c>
      <c r="CA91" s="45">
        <v>163780.48</v>
      </c>
      <c r="CB91" s="159">
        <v>46047</v>
      </c>
      <c r="CC91" s="46">
        <v>147915</v>
      </c>
      <c r="CD91" s="129">
        <v>35219</v>
      </c>
      <c r="CE91" s="45">
        <v>160199.04</v>
      </c>
      <c r="CF91" s="156">
        <v>73058</v>
      </c>
      <c r="CG91" s="46">
        <v>174683</v>
      </c>
      <c r="CH91" s="129">
        <v>0</v>
      </c>
      <c r="CI91" s="45">
        <v>262320.28</v>
      </c>
      <c r="CJ91" s="159">
        <v>82232</v>
      </c>
      <c r="CK91" s="46">
        <v>232703</v>
      </c>
      <c r="CL91" s="129">
        <v>0</v>
      </c>
      <c r="CM91" s="45">
        <v>119113.34</v>
      </c>
      <c r="CN91" s="159">
        <v>47110</v>
      </c>
      <c r="CO91" s="46">
        <v>312918</v>
      </c>
    </row>
    <row r="92" spans="1:93" s="52" customFormat="1" ht="11.25">
      <c r="A92" s="30" t="s">
        <v>40</v>
      </c>
      <c r="B92" s="48"/>
      <c r="C92" s="49">
        <f>311.62*2.2046</f>
        <v>686.9974520000001</v>
      </c>
      <c r="D92" s="49">
        <v>0</v>
      </c>
      <c r="E92" s="50">
        <v>0</v>
      </c>
      <c r="F92" s="48"/>
      <c r="G92" s="49">
        <f>272.66*2.2046</f>
        <v>601.1062360000001</v>
      </c>
      <c r="H92" s="49">
        <v>0</v>
      </c>
      <c r="I92" s="50">
        <v>855</v>
      </c>
      <c r="J92" s="48"/>
      <c r="K92" s="49">
        <f>204.06*2.2046</f>
        <v>449.870676</v>
      </c>
      <c r="L92" s="49">
        <v>0</v>
      </c>
      <c r="M92" s="50">
        <v>0</v>
      </c>
      <c r="N92" s="48"/>
      <c r="O92" s="49">
        <f>520.33*2.2046</f>
        <v>1147.1195180000002</v>
      </c>
      <c r="P92" s="49">
        <v>0</v>
      </c>
      <c r="Q92" s="50">
        <v>7436</v>
      </c>
      <c r="R92" s="48"/>
      <c r="S92" s="49">
        <f>288.36*2.2046</f>
        <v>635.7184560000001</v>
      </c>
      <c r="T92" s="49">
        <v>0</v>
      </c>
      <c r="U92" s="50">
        <v>628</v>
      </c>
      <c r="V92" s="48"/>
      <c r="W92" s="49">
        <f>204.91*2.2046</f>
        <v>451.744586</v>
      </c>
      <c r="X92" s="49">
        <v>0</v>
      </c>
      <c r="Y92" s="50">
        <v>3741</v>
      </c>
      <c r="Z92" s="48"/>
      <c r="AA92" s="49">
        <f>360.99*2.2046</f>
        <v>795.838554</v>
      </c>
      <c r="AB92" s="49">
        <v>0</v>
      </c>
      <c r="AC92" s="50">
        <v>4881</v>
      </c>
      <c r="AD92" s="48"/>
      <c r="AE92" s="49">
        <f>214.92*2.2046</f>
        <v>473.812632</v>
      </c>
      <c r="AF92" s="49">
        <v>0</v>
      </c>
      <c r="AG92" s="50">
        <v>3192</v>
      </c>
      <c r="AH92" s="48"/>
      <c r="AI92" s="49">
        <f>237.14*2.2046</f>
        <v>522.798844</v>
      </c>
      <c r="AJ92" s="49">
        <v>0</v>
      </c>
      <c r="AK92" s="50">
        <v>3704</v>
      </c>
      <c r="AL92" s="48"/>
      <c r="AM92" s="49">
        <f>331.72*2.2046</f>
        <v>731.309912</v>
      </c>
      <c r="AN92" s="49">
        <v>0</v>
      </c>
      <c r="AO92" s="50">
        <v>1834</v>
      </c>
      <c r="AP92" s="48"/>
      <c r="AQ92" s="49">
        <f>169.14*2.2046</f>
        <v>372.88604399999997</v>
      </c>
      <c r="AR92" s="49">
        <v>0</v>
      </c>
      <c r="AS92" s="50">
        <v>1362</v>
      </c>
      <c r="AT92" s="48"/>
      <c r="AU92" s="49">
        <f>247.4*2.2046</f>
        <v>545.41804</v>
      </c>
      <c r="AV92" s="49">
        <v>0</v>
      </c>
      <c r="AW92" s="50">
        <v>8796</v>
      </c>
      <c r="AX92" s="48"/>
      <c r="AY92" s="49">
        <f>127.94*2.2046</f>
        <v>282.056524</v>
      </c>
      <c r="AZ92" s="49">
        <v>0</v>
      </c>
      <c r="BA92" s="50">
        <v>12800</v>
      </c>
      <c r="BB92" s="48"/>
      <c r="BC92" s="49">
        <f>319.27*2.2046</f>
        <v>703.862642</v>
      </c>
      <c r="BD92" s="49">
        <v>0</v>
      </c>
      <c r="BE92" s="50">
        <v>16871</v>
      </c>
      <c r="BF92" s="48"/>
      <c r="BG92" s="49">
        <f>170.76*2.2046</f>
        <v>376.457496</v>
      </c>
      <c r="BH92" s="49">
        <v>0</v>
      </c>
      <c r="BI92" s="50">
        <v>13067</v>
      </c>
      <c r="BJ92" s="48"/>
      <c r="BK92" s="49">
        <f>288.09*2.2046</f>
        <v>635.123214</v>
      </c>
      <c r="BL92" s="49">
        <v>1735</v>
      </c>
      <c r="BM92" s="51">
        <v>10329</v>
      </c>
      <c r="BN92" s="48">
        <v>0</v>
      </c>
      <c r="BO92" s="49">
        <v>183</v>
      </c>
      <c r="BP92" s="49">
        <v>198</v>
      </c>
      <c r="BQ92" s="51">
        <v>1100</v>
      </c>
      <c r="BR92" s="48">
        <v>0</v>
      </c>
      <c r="BS92" s="49">
        <v>302</v>
      </c>
      <c r="BT92" s="49">
        <v>0</v>
      </c>
      <c r="BU92" s="120">
        <v>179</v>
      </c>
      <c r="BV92" s="116">
        <v>0</v>
      </c>
      <c r="BW92" s="49">
        <v>1344.8</v>
      </c>
      <c r="BX92" s="160">
        <v>456</v>
      </c>
      <c r="BY92" s="172">
        <v>6784</v>
      </c>
      <c r="BZ92" s="116">
        <v>0</v>
      </c>
      <c r="CA92" s="49">
        <v>2086.07</v>
      </c>
      <c r="CB92" s="160">
        <v>295</v>
      </c>
      <c r="CC92" s="50">
        <v>7716</v>
      </c>
      <c r="CD92" s="116">
        <v>0</v>
      </c>
      <c r="CE92" s="49">
        <v>2110.65</v>
      </c>
      <c r="CF92" s="49">
        <v>0</v>
      </c>
      <c r="CG92" s="50">
        <v>0</v>
      </c>
      <c r="CH92" s="116">
        <v>0</v>
      </c>
      <c r="CI92" s="49">
        <v>765.1</v>
      </c>
      <c r="CJ92" s="49">
        <v>0</v>
      </c>
      <c r="CK92" s="50">
        <v>20249</v>
      </c>
      <c r="CL92" s="116">
        <v>0</v>
      </c>
      <c r="CM92" s="49">
        <v>506.66</v>
      </c>
      <c r="CN92" s="49">
        <v>0</v>
      </c>
      <c r="CO92" s="50">
        <v>10309</v>
      </c>
    </row>
    <row r="93" spans="1:93" s="2" customFormat="1" ht="11.25">
      <c r="A93" s="13" t="s">
        <v>41</v>
      </c>
      <c r="B93" s="44"/>
      <c r="C93" s="45">
        <f>6583.14*2.2046</f>
        <v>14513.190444000002</v>
      </c>
      <c r="D93" s="45">
        <v>0</v>
      </c>
      <c r="E93" s="46">
        <v>0</v>
      </c>
      <c r="F93" s="44"/>
      <c r="G93" s="45">
        <f>5496.71*2.2046</f>
        <v>12118.046866</v>
      </c>
      <c r="H93" s="45">
        <v>0</v>
      </c>
      <c r="I93" s="46">
        <v>0</v>
      </c>
      <c r="J93" s="44"/>
      <c r="K93" s="45">
        <f>2433.34*2.2046</f>
        <v>5364.541364000001</v>
      </c>
      <c r="L93" s="45">
        <v>0</v>
      </c>
      <c r="M93" s="46">
        <v>22083</v>
      </c>
      <c r="N93" s="44"/>
      <c r="O93" s="45">
        <f>2921.97*2.2046</f>
        <v>6441.775062</v>
      </c>
      <c r="P93" s="45">
        <v>0</v>
      </c>
      <c r="Q93" s="46">
        <v>0</v>
      </c>
      <c r="R93" s="44"/>
      <c r="S93" s="45">
        <f>2130.26*2.2046</f>
        <v>4696.371196000001</v>
      </c>
      <c r="T93" s="45">
        <v>0</v>
      </c>
      <c r="U93" s="46">
        <v>5194</v>
      </c>
      <c r="V93" s="44"/>
      <c r="W93" s="45">
        <f>467.04*2.2046</f>
        <v>1029.6363840000001</v>
      </c>
      <c r="X93" s="45">
        <v>0</v>
      </c>
      <c r="Y93" s="46">
        <v>0</v>
      </c>
      <c r="Z93" s="44">
        <v>2918</v>
      </c>
      <c r="AA93" s="45">
        <f>3334.01*2.2046</f>
        <v>7350.158446000001</v>
      </c>
      <c r="AB93" s="45">
        <v>0</v>
      </c>
      <c r="AC93" s="46">
        <v>0</v>
      </c>
      <c r="AD93" s="44">
        <v>5342</v>
      </c>
      <c r="AE93" s="45">
        <f>1389.6*2.2046</f>
        <v>3063.5121599999998</v>
      </c>
      <c r="AF93" s="45">
        <v>0</v>
      </c>
      <c r="AG93" s="46">
        <v>0</v>
      </c>
      <c r="AH93" s="44">
        <v>21258</v>
      </c>
      <c r="AI93" s="45">
        <f>1199.23*2.2046</f>
        <v>2643.822458</v>
      </c>
      <c r="AJ93" s="45">
        <v>0</v>
      </c>
      <c r="AK93" s="46">
        <v>21554</v>
      </c>
      <c r="AL93" s="44">
        <v>26580</v>
      </c>
      <c r="AM93" s="45">
        <f>1073.11*2.2046</f>
        <v>2365.7783059999997</v>
      </c>
      <c r="AN93" s="45">
        <v>0</v>
      </c>
      <c r="AO93" s="46">
        <v>12800</v>
      </c>
      <c r="AP93" s="44">
        <v>18235</v>
      </c>
      <c r="AQ93" s="45">
        <f>1675.57*2.2046</f>
        <v>3693.9616220000003</v>
      </c>
      <c r="AR93" s="45">
        <v>0</v>
      </c>
      <c r="AS93" s="46">
        <v>24009</v>
      </c>
      <c r="AT93" s="44">
        <v>9332</v>
      </c>
      <c r="AU93" s="45">
        <f>2883.39*2.2046</f>
        <v>6356.721594</v>
      </c>
      <c r="AV93" s="45">
        <v>0</v>
      </c>
      <c r="AW93" s="46">
        <v>0</v>
      </c>
      <c r="AX93" s="44">
        <v>4194</v>
      </c>
      <c r="AY93" s="45">
        <f>851.6*2.2046</f>
        <v>1877.4373600000001</v>
      </c>
      <c r="AZ93" s="45">
        <v>617</v>
      </c>
      <c r="BA93" s="46">
        <v>35719</v>
      </c>
      <c r="BB93" s="44">
        <v>3238</v>
      </c>
      <c r="BC93" s="45">
        <f>1516.87*2.2046</f>
        <v>3344.091602</v>
      </c>
      <c r="BD93" s="45">
        <v>0</v>
      </c>
      <c r="BE93" s="46">
        <v>56188</v>
      </c>
      <c r="BF93" s="44">
        <v>3319</v>
      </c>
      <c r="BG93" s="45">
        <f>655.61*2.2046</f>
        <v>1445.3578060000002</v>
      </c>
      <c r="BH93" s="45">
        <v>0</v>
      </c>
      <c r="BI93" s="46">
        <v>20159</v>
      </c>
      <c r="BJ93" s="44">
        <v>3903</v>
      </c>
      <c r="BK93" s="45">
        <f>4005.47*2.2046</f>
        <v>8830.459162</v>
      </c>
      <c r="BL93" s="45">
        <v>2024</v>
      </c>
      <c r="BM93" s="47">
        <v>4129</v>
      </c>
      <c r="BN93" s="44">
        <v>2836</v>
      </c>
      <c r="BO93" s="45">
        <v>5523</v>
      </c>
      <c r="BP93" s="45">
        <v>1069</v>
      </c>
      <c r="BQ93" s="47">
        <v>4623</v>
      </c>
      <c r="BR93" s="44">
        <v>5947</v>
      </c>
      <c r="BS93" s="45">
        <v>5049</v>
      </c>
      <c r="BT93" s="45">
        <v>340</v>
      </c>
      <c r="BU93" s="106">
        <v>5968</v>
      </c>
      <c r="BV93" s="129">
        <v>3086</v>
      </c>
      <c r="BW93" s="45">
        <v>3681.66</v>
      </c>
      <c r="BX93" s="160">
        <v>42</v>
      </c>
      <c r="BY93" s="46">
        <v>13770</v>
      </c>
      <c r="BZ93" s="129">
        <v>2624</v>
      </c>
      <c r="CA93" s="45">
        <v>3566.42</v>
      </c>
      <c r="CB93" s="160">
        <v>82</v>
      </c>
      <c r="CC93" s="46">
        <v>27443</v>
      </c>
      <c r="CD93" s="129">
        <v>4144</v>
      </c>
      <c r="CE93" s="45">
        <v>6053.37</v>
      </c>
      <c r="CF93" s="45">
        <v>157</v>
      </c>
      <c r="CG93" s="46">
        <v>17663</v>
      </c>
      <c r="CH93" s="129">
        <v>2715</v>
      </c>
      <c r="CI93" s="45">
        <v>7689.44</v>
      </c>
      <c r="CJ93" s="45">
        <v>0</v>
      </c>
      <c r="CK93" s="46">
        <v>17555</v>
      </c>
      <c r="CL93" s="129">
        <v>2916</v>
      </c>
      <c r="CM93" s="45">
        <v>1253.29</v>
      </c>
      <c r="CN93" s="45">
        <v>84</v>
      </c>
      <c r="CO93" s="46">
        <v>626</v>
      </c>
    </row>
    <row r="94" spans="1:93" s="52" customFormat="1" ht="12" customHeight="1">
      <c r="A94" s="14" t="s">
        <v>55</v>
      </c>
      <c r="B94" s="48"/>
      <c r="C94" s="49">
        <f>387.96*2.2046</f>
        <v>855.296616</v>
      </c>
      <c r="D94" s="49">
        <v>0</v>
      </c>
      <c r="E94" s="50">
        <v>3183</v>
      </c>
      <c r="F94" s="48"/>
      <c r="G94" s="49">
        <f>280.97*2.2046</f>
        <v>619.4264620000001</v>
      </c>
      <c r="H94" s="49">
        <v>0</v>
      </c>
      <c r="I94" s="50">
        <v>9233</v>
      </c>
      <c r="J94" s="48"/>
      <c r="K94" s="49">
        <f>150.87*2.2046</f>
        <v>332.608002</v>
      </c>
      <c r="L94" s="49">
        <v>3935</v>
      </c>
      <c r="M94" s="50">
        <v>39954</v>
      </c>
      <c r="N94" s="48"/>
      <c r="O94" s="49">
        <f>126.26*2.2046</f>
        <v>278.352796</v>
      </c>
      <c r="P94" s="49">
        <v>0</v>
      </c>
      <c r="Q94" s="50">
        <v>64716</v>
      </c>
      <c r="R94" s="48"/>
      <c r="S94" s="49">
        <f>210.46*2.2046</f>
        <v>463.98011600000007</v>
      </c>
      <c r="T94" s="49">
        <v>0</v>
      </c>
      <c r="U94" s="50">
        <v>1905</v>
      </c>
      <c r="V94" s="48"/>
      <c r="W94" s="49">
        <f>48.89*2.2046</f>
        <v>107.78289400000001</v>
      </c>
      <c r="X94" s="49">
        <v>0</v>
      </c>
      <c r="Y94" s="50">
        <v>7239</v>
      </c>
      <c r="Z94" s="48"/>
      <c r="AA94" s="49">
        <f>344.43*2.2046</f>
        <v>759.3303780000001</v>
      </c>
      <c r="AB94" s="49">
        <v>0</v>
      </c>
      <c r="AC94" s="50">
        <v>30320</v>
      </c>
      <c r="AD94" s="48"/>
      <c r="AE94" s="49">
        <f>119.33*2.2046</f>
        <v>263.074918</v>
      </c>
      <c r="AF94" s="49">
        <v>0</v>
      </c>
      <c r="AG94" s="50">
        <v>16283</v>
      </c>
      <c r="AH94" s="48"/>
      <c r="AI94" s="49">
        <f>478.8*2.2046</f>
        <v>1055.56248</v>
      </c>
      <c r="AJ94" s="49">
        <v>0</v>
      </c>
      <c r="AK94" s="50">
        <v>11669</v>
      </c>
      <c r="AL94" s="48"/>
      <c r="AM94" s="49">
        <f>414.11*2.2046</f>
        <v>912.9469060000001</v>
      </c>
      <c r="AN94" s="49">
        <v>0</v>
      </c>
      <c r="AO94" s="50">
        <v>32454</v>
      </c>
      <c r="AP94" s="48"/>
      <c r="AQ94" s="49">
        <f>191.95*2.2046</f>
        <v>423.17297</v>
      </c>
      <c r="AR94" s="49">
        <v>0</v>
      </c>
      <c r="AS94" s="50">
        <v>25801</v>
      </c>
      <c r="AT94" s="48"/>
      <c r="AU94" s="49">
        <f>145.9*2.2046</f>
        <v>321.65114000000005</v>
      </c>
      <c r="AV94" s="49">
        <v>0</v>
      </c>
      <c r="AW94" s="50">
        <v>126928</v>
      </c>
      <c r="AX94" s="48"/>
      <c r="AY94" s="49">
        <f>89.46*2.2046</f>
        <v>197.223516</v>
      </c>
      <c r="AZ94" s="49">
        <v>1080</v>
      </c>
      <c r="BA94" s="50">
        <v>67754</v>
      </c>
      <c r="BB94" s="48"/>
      <c r="BC94" s="49">
        <f>487.57*2.2046</f>
        <v>1074.896822</v>
      </c>
      <c r="BD94" s="49">
        <v>2050</v>
      </c>
      <c r="BE94" s="50">
        <v>88446</v>
      </c>
      <c r="BF94" s="48"/>
      <c r="BG94" s="49">
        <f>87.3*2.2046</f>
        <v>192.46158</v>
      </c>
      <c r="BH94" s="49">
        <v>0</v>
      </c>
      <c r="BI94" s="50">
        <v>96806</v>
      </c>
      <c r="BJ94" s="48"/>
      <c r="BK94" s="49">
        <f>100.94*2.2046</f>
        <v>222.53232400000002</v>
      </c>
      <c r="BL94" s="49">
        <v>362</v>
      </c>
      <c r="BM94" s="51">
        <v>85356</v>
      </c>
      <c r="BN94" s="48">
        <v>0</v>
      </c>
      <c r="BO94" s="49">
        <v>143</v>
      </c>
      <c r="BP94" s="49">
        <v>822</v>
      </c>
      <c r="BQ94" s="51">
        <v>53938</v>
      </c>
      <c r="BR94" s="48">
        <v>0</v>
      </c>
      <c r="BS94" s="49">
        <v>358</v>
      </c>
      <c r="BT94" s="49">
        <v>1556</v>
      </c>
      <c r="BU94" s="120">
        <v>54867</v>
      </c>
      <c r="BV94" s="116">
        <v>0</v>
      </c>
      <c r="BW94" s="49">
        <v>628.31</v>
      </c>
      <c r="BX94" s="49">
        <v>1221</v>
      </c>
      <c r="BY94" s="50">
        <v>40090</v>
      </c>
      <c r="BZ94" s="116">
        <v>0</v>
      </c>
      <c r="CA94" s="49">
        <v>217.24</v>
      </c>
      <c r="CB94" s="49">
        <v>917</v>
      </c>
      <c r="CC94" s="50">
        <v>60640</v>
      </c>
      <c r="CD94" s="116">
        <v>0</v>
      </c>
      <c r="CE94" s="49">
        <v>1340.37</v>
      </c>
      <c r="CF94" s="49">
        <v>97</v>
      </c>
      <c r="CG94" s="50">
        <v>36539</v>
      </c>
      <c r="CH94" s="116">
        <v>0</v>
      </c>
      <c r="CI94" s="49">
        <v>16.94</v>
      </c>
      <c r="CJ94" s="49">
        <v>0</v>
      </c>
      <c r="CK94" s="50">
        <v>62363</v>
      </c>
      <c r="CL94" s="116">
        <v>0</v>
      </c>
      <c r="CM94" s="49">
        <v>569.46</v>
      </c>
      <c r="CN94" s="49">
        <v>185</v>
      </c>
      <c r="CO94" s="50">
        <v>52758</v>
      </c>
    </row>
    <row r="95" spans="1:93" s="52" customFormat="1" ht="11.25">
      <c r="A95" s="14" t="s">
        <v>42</v>
      </c>
      <c r="B95" s="48"/>
      <c r="C95" s="49">
        <f>49721.72*2.2046</f>
        <v>109616.50391200001</v>
      </c>
      <c r="D95" s="49">
        <v>0</v>
      </c>
      <c r="E95" s="50">
        <v>5666</v>
      </c>
      <c r="F95" s="48"/>
      <c r="G95" s="49">
        <f>69229.48*2.2046</f>
        <v>152623.311608</v>
      </c>
      <c r="H95" s="49">
        <v>789</v>
      </c>
      <c r="I95" s="50">
        <v>3014</v>
      </c>
      <c r="J95" s="48"/>
      <c r="K95" s="49">
        <f>81169.97*2.2046</f>
        <v>178947.31586200002</v>
      </c>
      <c r="L95" s="49">
        <v>1543</v>
      </c>
      <c r="M95" s="50">
        <v>5046</v>
      </c>
      <c r="N95" s="48"/>
      <c r="O95" s="49">
        <f>52526.33*2.2046</f>
        <v>115799.54711800002</v>
      </c>
      <c r="P95" s="49">
        <v>3854</v>
      </c>
      <c r="Q95" s="50">
        <v>3104</v>
      </c>
      <c r="R95" s="48"/>
      <c r="S95" s="49">
        <f>40149.23*2.2046</f>
        <v>88512.99245800001</v>
      </c>
      <c r="T95" s="49">
        <v>218</v>
      </c>
      <c r="U95" s="50">
        <v>342</v>
      </c>
      <c r="V95" s="48"/>
      <c r="W95" s="49">
        <f>47098.99*2.2046</f>
        <v>103834.43335400001</v>
      </c>
      <c r="X95" s="49">
        <v>0</v>
      </c>
      <c r="Y95" s="50">
        <v>0</v>
      </c>
      <c r="Z95" s="48"/>
      <c r="AA95" s="49">
        <f>40658.96*2.2046</f>
        <v>89636.743216</v>
      </c>
      <c r="AB95" s="49">
        <v>3168</v>
      </c>
      <c r="AC95" s="50">
        <v>8036</v>
      </c>
      <c r="AD95" s="48"/>
      <c r="AE95" s="49">
        <f>35692.37*2.2046</f>
        <v>78687.39890200002</v>
      </c>
      <c r="AF95" s="49">
        <v>0</v>
      </c>
      <c r="AG95" s="50">
        <v>0</v>
      </c>
      <c r="AH95" s="48"/>
      <c r="AI95" s="49">
        <f>29458.99*2.2046</f>
        <v>64945.28935400001</v>
      </c>
      <c r="AJ95" s="49">
        <v>0</v>
      </c>
      <c r="AK95" s="50">
        <v>516</v>
      </c>
      <c r="AL95" s="48"/>
      <c r="AM95" s="49">
        <f>30300.25*2.2046</f>
        <v>66799.93115</v>
      </c>
      <c r="AN95" s="49">
        <v>1810</v>
      </c>
      <c r="AO95" s="50">
        <v>3371</v>
      </c>
      <c r="AP95" s="48"/>
      <c r="AQ95" s="49">
        <f>16688.4*2.2046</f>
        <v>36791.246640000005</v>
      </c>
      <c r="AR95" s="49">
        <v>0</v>
      </c>
      <c r="AS95" s="50">
        <v>247</v>
      </c>
      <c r="AT95" s="48"/>
      <c r="AU95" s="49">
        <f>16115.59*2.2046</f>
        <v>35528.429714000005</v>
      </c>
      <c r="AV95" s="49">
        <v>0</v>
      </c>
      <c r="AW95" s="50">
        <v>1878</v>
      </c>
      <c r="AX95" s="48"/>
      <c r="AY95" s="49">
        <f>12490.06*2.2046</f>
        <v>27535.586276</v>
      </c>
      <c r="AZ95" s="49">
        <v>725</v>
      </c>
      <c r="BA95" s="50">
        <v>536</v>
      </c>
      <c r="BB95" s="48"/>
      <c r="BC95" s="49">
        <f>14865.4*2.2046</f>
        <v>32772.26084</v>
      </c>
      <c r="BD95" s="49">
        <v>326</v>
      </c>
      <c r="BE95" s="50">
        <v>6113</v>
      </c>
      <c r="BF95" s="48"/>
      <c r="BG95" s="49">
        <v>36431</v>
      </c>
      <c r="BH95" s="49">
        <v>2291</v>
      </c>
      <c r="BI95" s="50">
        <v>5064</v>
      </c>
      <c r="BJ95" s="48"/>
      <c r="BK95" s="49">
        <f>25192.76*2.2046</f>
        <v>55539.958696</v>
      </c>
      <c r="BL95" s="49">
        <v>300</v>
      </c>
      <c r="BM95" s="51">
        <v>15668</v>
      </c>
      <c r="BN95" s="48">
        <v>0</v>
      </c>
      <c r="BO95" s="49">
        <v>24435</v>
      </c>
      <c r="BP95" s="49">
        <v>29</v>
      </c>
      <c r="BQ95" s="51">
        <v>5137</v>
      </c>
      <c r="BR95" s="48">
        <v>0</v>
      </c>
      <c r="BS95" s="49">
        <v>16679</v>
      </c>
      <c r="BT95" s="49">
        <v>11</v>
      </c>
      <c r="BU95" s="120">
        <v>17601</v>
      </c>
      <c r="BV95" s="116">
        <v>0</v>
      </c>
      <c r="BW95" s="49">
        <v>41225.76</v>
      </c>
      <c r="BX95" s="159">
        <v>3776</v>
      </c>
      <c r="BY95" s="50">
        <v>18234</v>
      </c>
      <c r="BZ95" s="116">
        <v>0</v>
      </c>
      <c r="CA95" s="49">
        <v>19180.38</v>
      </c>
      <c r="CB95" s="159">
        <v>2211</v>
      </c>
      <c r="CC95" s="50">
        <v>21714</v>
      </c>
      <c r="CD95" s="116">
        <v>0</v>
      </c>
      <c r="CE95" s="49">
        <v>26273.48</v>
      </c>
      <c r="CF95" s="159">
        <v>4032</v>
      </c>
      <c r="CG95" s="50">
        <v>27840</v>
      </c>
      <c r="CH95" s="116">
        <v>0</v>
      </c>
      <c r="CI95" s="49">
        <v>18371.66</v>
      </c>
      <c r="CJ95" s="159">
        <v>957</v>
      </c>
      <c r="CK95" s="50">
        <v>43737</v>
      </c>
      <c r="CL95" s="116">
        <v>0</v>
      </c>
      <c r="CM95" s="49">
        <v>15878.72</v>
      </c>
      <c r="CN95" s="159">
        <v>60</v>
      </c>
      <c r="CO95" s="50">
        <v>29797</v>
      </c>
    </row>
    <row r="96" spans="1:93" s="52" customFormat="1" ht="11.25" customHeight="1">
      <c r="A96" s="14" t="s">
        <v>116</v>
      </c>
      <c r="B96" s="48"/>
      <c r="C96" s="49">
        <f>2066.62*2.2046</f>
        <v>4556.070452</v>
      </c>
      <c r="D96" s="49">
        <v>0</v>
      </c>
      <c r="E96" s="50">
        <v>21759</v>
      </c>
      <c r="F96" s="48"/>
      <c r="G96" s="49">
        <f>1608.79*2.2046</f>
        <v>3546.7384340000003</v>
      </c>
      <c r="H96" s="49">
        <v>0</v>
      </c>
      <c r="I96" s="50">
        <v>33020</v>
      </c>
      <c r="J96" s="48"/>
      <c r="K96" s="49">
        <f>3432.73*2.2046</f>
        <v>7567.796558</v>
      </c>
      <c r="L96" s="49">
        <v>0</v>
      </c>
      <c r="M96" s="50">
        <v>51782</v>
      </c>
      <c r="N96" s="48"/>
      <c r="O96" s="49">
        <f>2793.71*2.2046</f>
        <v>6159.013066</v>
      </c>
      <c r="P96" s="49">
        <v>0</v>
      </c>
      <c r="Q96" s="50">
        <v>5278</v>
      </c>
      <c r="R96" s="48"/>
      <c r="S96" s="49">
        <f>2325.36*2.2046</f>
        <v>5126.488656</v>
      </c>
      <c r="T96" s="49">
        <v>179</v>
      </c>
      <c r="U96" s="50">
        <v>23464</v>
      </c>
      <c r="V96" s="48"/>
      <c r="W96" s="49">
        <f>1610.17*2.2046</f>
        <v>3549.7807820000003</v>
      </c>
      <c r="X96" s="49">
        <v>0</v>
      </c>
      <c r="Y96" s="50">
        <v>0</v>
      </c>
      <c r="Z96" s="48"/>
      <c r="AA96" s="49">
        <f>5206.19*2.2046</f>
        <v>11477.566474</v>
      </c>
      <c r="AB96" s="49">
        <v>0</v>
      </c>
      <c r="AC96" s="50">
        <v>62225</v>
      </c>
      <c r="AD96" s="48"/>
      <c r="AE96" s="49">
        <f>5381.21*2.2046</f>
        <v>11863.415566000001</v>
      </c>
      <c r="AF96" s="49">
        <v>0</v>
      </c>
      <c r="AG96" s="50">
        <v>35805</v>
      </c>
      <c r="AH96" s="48"/>
      <c r="AI96" s="49">
        <f>3987.79*2.2046</f>
        <v>8791.481834</v>
      </c>
      <c r="AJ96" s="49">
        <v>0</v>
      </c>
      <c r="AK96" s="50">
        <v>15073</v>
      </c>
      <c r="AL96" s="48"/>
      <c r="AM96" s="49">
        <f>5116.7*2.2046</f>
        <v>11280.276820000001</v>
      </c>
      <c r="AN96" s="49">
        <v>0</v>
      </c>
      <c r="AO96" s="50">
        <v>22859</v>
      </c>
      <c r="AP96" s="48"/>
      <c r="AQ96" s="49">
        <f>4076.09*2.2046</f>
        <v>8986.148014</v>
      </c>
      <c r="AR96" s="49">
        <v>0</v>
      </c>
      <c r="AS96" s="50">
        <v>12504</v>
      </c>
      <c r="AT96" s="48"/>
      <c r="AU96" s="49">
        <f>3336.83*2.2046</f>
        <v>7356.3754180000005</v>
      </c>
      <c r="AV96" s="49">
        <v>0</v>
      </c>
      <c r="AW96" s="50">
        <v>2656</v>
      </c>
      <c r="AX96" s="48"/>
      <c r="AY96" s="49">
        <f>4951.26*2.2046</f>
        <v>10915.547796</v>
      </c>
      <c r="AZ96" s="49">
        <v>0</v>
      </c>
      <c r="BA96" s="50">
        <v>3235</v>
      </c>
      <c r="BB96" s="48"/>
      <c r="BC96" s="49">
        <f>3586.14*2.2046</f>
        <v>7906.004244</v>
      </c>
      <c r="BD96" s="49">
        <v>99</v>
      </c>
      <c r="BE96" s="50">
        <v>10024</v>
      </c>
      <c r="BF96" s="48"/>
      <c r="BG96" s="49">
        <f>1324.38*2.2046</f>
        <v>2919.7281480000006</v>
      </c>
      <c r="BH96" s="49">
        <v>0</v>
      </c>
      <c r="BI96" s="50">
        <v>1722</v>
      </c>
      <c r="BJ96" s="48"/>
      <c r="BK96" s="49">
        <f>1376.49*2.2046</f>
        <v>3034.6098540000003</v>
      </c>
      <c r="BL96" s="49">
        <v>0</v>
      </c>
      <c r="BM96" s="51">
        <v>7077</v>
      </c>
      <c r="BN96" s="48">
        <v>0</v>
      </c>
      <c r="BO96" s="49">
        <v>3651</v>
      </c>
      <c r="BP96" s="49">
        <v>0</v>
      </c>
      <c r="BQ96" s="51">
        <v>8271</v>
      </c>
      <c r="BR96" s="48">
        <v>0</v>
      </c>
      <c r="BS96" s="49">
        <v>3613</v>
      </c>
      <c r="BT96" s="49">
        <v>0</v>
      </c>
      <c r="BU96" s="120">
        <v>21464</v>
      </c>
      <c r="BV96" s="116">
        <v>0</v>
      </c>
      <c r="BW96" s="49">
        <v>7934.31</v>
      </c>
      <c r="BX96" s="160">
        <v>66</v>
      </c>
      <c r="BY96" s="172">
        <v>7220</v>
      </c>
      <c r="BZ96" s="116">
        <v>0</v>
      </c>
      <c r="CA96" s="49">
        <v>4732.17</v>
      </c>
      <c r="CB96" s="160">
        <v>53</v>
      </c>
      <c r="CC96" s="50">
        <v>25258</v>
      </c>
      <c r="CD96" s="116">
        <v>0</v>
      </c>
      <c r="CE96" s="49">
        <v>4564.31</v>
      </c>
      <c r="CF96" s="49">
        <v>0</v>
      </c>
      <c r="CG96" s="50">
        <v>70320</v>
      </c>
      <c r="CH96" s="116">
        <v>0</v>
      </c>
      <c r="CI96" s="49">
        <v>3243.72</v>
      </c>
      <c r="CJ96" s="49">
        <v>97</v>
      </c>
      <c r="CK96" s="50">
        <v>63990</v>
      </c>
      <c r="CL96" s="116">
        <v>0</v>
      </c>
      <c r="CM96" s="49">
        <v>3494.86</v>
      </c>
      <c r="CN96" s="49">
        <v>0</v>
      </c>
      <c r="CO96" s="50">
        <v>34015</v>
      </c>
    </row>
    <row r="97" spans="1:93" s="52" customFormat="1" ht="13.5" customHeight="1">
      <c r="A97" s="14" t="s">
        <v>57</v>
      </c>
      <c r="B97" s="48"/>
      <c r="C97" s="49">
        <f>1813.75*2.2046</f>
        <v>3998.5932500000004</v>
      </c>
      <c r="D97" s="49">
        <v>0</v>
      </c>
      <c r="E97" s="50">
        <v>6043</v>
      </c>
      <c r="F97" s="48"/>
      <c r="G97" s="49">
        <f>1531.75*2.2046</f>
        <v>3376.8960500000003</v>
      </c>
      <c r="H97" s="49">
        <v>0</v>
      </c>
      <c r="I97" s="50">
        <v>21614</v>
      </c>
      <c r="J97" s="48"/>
      <c r="K97" s="49">
        <f>680.97*2.2046</f>
        <v>1501.266462</v>
      </c>
      <c r="L97" s="49">
        <v>0</v>
      </c>
      <c r="M97" s="50">
        <v>27862</v>
      </c>
      <c r="N97" s="48"/>
      <c r="O97" s="49">
        <f>665.48*2.2046</f>
        <v>1467.1172080000001</v>
      </c>
      <c r="P97" s="49">
        <v>0</v>
      </c>
      <c r="Q97" s="50">
        <v>0</v>
      </c>
      <c r="R97" s="48"/>
      <c r="S97" s="49">
        <f>504.74*2.2046</f>
        <v>1112.749804</v>
      </c>
      <c r="T97" s="49">
        <v>0</v>
      </c>
      <c r="U97" s="50">
        <v>0</v>
      </c>
      <c r="V97" s="48"/>
      <c r="W97" s="49">
        <f>551.98*2.2046</f>
        <v>1216.8951080000002</v>
      </c>
      <c r="X97" s="49">
        <v>0</v>
      </c>
      <c r="Y97" s="50">
        <v>0</v>
      </c>
      <c r="Z97" s="48"/>
      <c r="AA97" s="49">
        <f>1397.84*2.2046</f>
        <v>3081.678064</v>
      </c>
      <c r="AB97" s="49">
        <v>0</v>
      </c>
      <c r="AC97" s="50">
        <v>1014</v>
      </c>
      <c r="AD97" s="48"/>
      <c r="AE97" s="49"/>
      <c r="AF97" s="49">
        <v>0</v>
      </c>
      <c r="AG97" s="50">
        <v>159</v>
      </c>
      <c r="AH97" s="48"/>
      <c r="AI97" s="49">
        <f>997.92*2.2046</f>
        <v>2200.014432</v>
      </c>
      <c r="AJ97" s="49">
        <v>0</v>
      </c>
      <c r="AK97" s="50">
        <v>520</v>
      </c>
      <c r="AL97" s="48"/>
      <c r="AM97" s="49">
        <f>654.08*2.2046</f>
        <v>1441.9847680000003</v>
      </c>
      <c r="AN97" s="49">
        <v>0</v>
      </c>
      <c r="AO97" s="50">
        <v>855</v>
      </c>
      <c r="AP97" s="48"/>
      <c r="AQ97" s="49">
        <f>540.36*2.2046</f>
        <v>1191.277656</v>
      </c>
      <c r="AR97" s="49">
        <v>0</v>
      </c>
      <c r="AS97" s="50">
        <v>0</v>
      </c>
      <c r="AT97" s="48"/>
      <c r="AU97" s="49">
        <f>399.42*2.2046</f>
        <v>880.5613320000001</v>
      </c>
      <c r="AV97" s="49">
        <v>0</v>
      </c>
      <c r="AW97" s="50">
        <v>25203</v>
      </c>
      <c r="AX97" s="48"/>
      <c r="AY97" s="49">
        <f>571.12*2.2046</f>
        <v>1259.091152</v>
      </c>
      <c r="AZ97" s="49">
        <v>0</v>
      </c>
      <c r="BA97" s="50">
        <v>0</v>
      </c>
      <c r="BB97" s="48"/>
      <c r="BC97" s="49">
        <f>532.91*2.2046</f>
        <v>1174.853386</v>
      </c>
      <c r="BD97" s="49">
        <v>0</v>
      </c>
      <c r="BE97" s="50">
        <v>1043</v>
      </c>
      <c r="BF97" s="48"/>
      <c r="BG97" s="49">
        <f>110.29*2.2046</f>
        <v>243.14533400000002</v>
      </c>
      <c r="BH97" s="49">
        <v>0</v>
      </c>
      <c r="BI97" s="50">
        <v>0</v>
      </c>
      <c r="BJ97" s="48"/>
      <c r="BK97" s="49">
        <f>210.98*2.2046</f>
        <v>465.126508</v>
      </c>
      <c r="BL97" s="49">
        <v>0</v>
      </c>
      <c r="BM97" s="51">
        <v>0</v>
      </c>
      <c r="BN97" s="48">
        <v>0</v>
      </c>
      <c r="BO97" s="49">
        <v>657</v>
      </c>
      <c r="BP97" s="49">
        <v>0</v>
      </c>
      <c r="BQ97" s="51">
        <v>170</v>
      </c>
      <c r="BR97" s="48">
        <v>0</v>
      </c>
      <c r="BS97" s="49">
        <v>212</v>
      </c>
      <c r="BT97" s="49">
        <v>0</v>
      </c>
      <c r="BU97" s="120">
        <v>238</v>
      </c>
      <c r="BV97" s="116">
        <v>0</v>
      </c>
      <c r="BW97" s="49">
        <v>0</v>
      </c>
      <c r="BX97" s="49">
        <v>0</v>
      </c>
      <c r="BY97" s="50">
        <v>0</v>
      </c>
      <c r="BZ97" s="116">
        <v>0</v>
      </c>
      <c r="CA97" s="49">
        <v>0</v>
      </c>
      <c r="CB97" s="49">
        <v>0</v>
      </c>
      <c r="CC97" s="50">
        <v>0</v>
      </c>
      <c r="CD97" s="116">
        <v>0</v>
      </c>
      <c r="CE97" s="49">
        <v>0</v>
      </c>
      <c r="CF97" s="49">
        <v>0</v>
      </c>
      <c r="CG97" s="50">
        <v>0</v>
      </c>
      <c r="CH97" s="116">
        <v>0</v>
      </c>
      <c r="CI97" s="49">
        <v>66.04</v>
      </c>
      <c r="CJ97" s="49">
        <v>0</v>
      </c>
      <c r="CK97" s="50">
        <v>0</v>
      </c>
      <c r="CL97" s="116">
        <v>0</v>
      </c>
      <c r="CM97" s="49">
        <v>0</v>
      </c>
      <c r="CN97" s="49">
        <v>0</v>
      </c>
      <c r="CO97" s="50">
        <v>1704</v>
      </c>
    </row>
    <row r="98" spans="1:93" s="52" customFormat="1" ht="13.5" customHeight="1">
      <c r="A98" s="14" t="s">
        <v>59</v>
      </c>
      <c r="B98" s="48"/>
      <c r="C98" s="49"/>
      <c r="D98" s="49">
        <v>0</v>
      </c>
      <c r="E98" s="50">
        <v>0</v>
      </c>
      <c r="F98" s="48"/>
      <c r="G98" s="49">
        <f>0.25*2.2046</f>
        <v>0.55115</v>
      </c>
      <c r="H98" s="49">
        <v>0</v>
      </c>
      <c r="I98" s="50">
        <v>0</v>
      </c>
      <c r="J98" s="48"/>
      <c r="K98" s="49">
        <f>1.46*2.2046</f>
        <v>3.218716</v>
      </c>
      <c r="L98" s="49">
        <v>0</v>
      </c>
      <c r="M98" s="50">
        <v>816</v>
      </c>
      <c r="N98" s="48"/>
      <c r="O98" s="49"/>
      <c r="P98" s="49">
        <v>0</v>
      </c>
      <c r="Q98" s="50">
        <v>32377</v>
      </c>
      <c r="R98" s="48"/>
      <c r="S98" s="49"/>
      <c r="T98" s="49">
        <v>0</v>
      </c>
      <c r="U98" s="50">
        <v>5740</v>
      </c>
      <c r="V98" s="48"/>
      <c r="W98" s="49"/>
      <c r="X98" s="49">
        <v>0</v>
      </c>
      <c r="Y98" s="50">
        <v>3135</v>
      </c>
      <c r="Z98" s="48"/>
      <c r="AA98" s="49">
        <f>4.55*2.2046</f>
        <v>10.03093</v>
      </c>
      <c r="AB98" s="49">
        <v>0</v>
      </c>
      <c r="AC98" s="50">
        <v>0</v>
      </c>
      <c r="AD98" s="48"/>
      <c r="AE98" s="49"/>
      <c r="AF98" s="49">
        <v>0</v>
      </c>
      <c r="AG98" s="50">
        <v>0</v>
      </c>
      <c r="AH98" s="48"/>
      <c r="AI98" s="49"/>
      <c r="AJ98" s="49">
        <v>0</v>
      </c>
      <c r="AK98" s="50">
        <v>0</v>
      </c>
      <c r="AL98" s="48"/>
      <c r="AM98" s="49"/>
      <c r="AN98" s="49">
        <v>0</v>
      </c>
      <c r="AO98" s="50">
        <v>0</v>
      </c>
      <c r="AP98" s="48"/>
      <c r="AQ98" s="49"/>
      <c r="AR98" s="49">
        <v>0</v>
      </c>
      <c r="AS98" s="50">
        <v>0</v>
      </c>
      <c r="AT98" s="48"/>
      <c r="AU98" s="49"/>
      <c r="AV98" s="49">
        <v>0</v>
      </c>
      <c r="AW98" s="50">
        <v>723</v>
      </c>
      <c r="AX98" s="48"/>
      <c r="AY98" s="49"/>
      <c r="AZ98" s="49">
        <v>0</v>
      </c>
      <c r="BA98" s="50">
        <v>0</v>
      </c>
      <c r="BB98" s="48"/>
      <c r="BC98" s="49"/>
      <c r="BD98" s="49">
        <v>0</v>
      </c>
      <c r="BE98" s="50">
        <v>0</v>
      </c>
      <c r="BF98" s="48"/>
      <c r="BG98" s="49"/>
      <c r="BH98" s="49">
        <v>0</v>
      </c>
      <c r="BI98" s="50">
        <v>0</v>
      </c>
      <c r="BJ98" s="48"/>
      <c r="BK98" s="49"/>
      <c r="BL98" s="49">
        <v>0</v>
      </c>
      <c r="BM98" s="51">
        <v>2262</v>
      </c>
      <c r="BN98" s="48">
        <v>0</v>
      </c>
      <c r="BO98" s="49">
        <v>0</v>
      </c>
      <c r="BP98" s="49">
        <v>0</v>
      </c>
      <c r="BQ98" s="51">
        <v>0</v>
      </c>
      <c r="BR98" s="48">
        <v>0</v>
      </c>
      <c r="BS98" s="49">
        <v>0</v>
      </c>
      <c r="BT98" s="49">
        <v>0</v>
      </c>
      <c r="BU98" s="120">
        <v>0</v>
      </c>
      <c r="BV98" s="116">
        <v>0</v>
      </c>
      <c r="BW98" s="49">
        <v>0</v>
      </c>
      <c r="BX98" s="49">
        <v>0</v>
      </c>
      <c r="BY98" s="50">
        <v>0</v>
      </c>
      <c r="BZ98" s="116">
        <v>0</v>
      </c>
      <c r="CA98" s="49">
        <v>0</v>
      </c>
      <c r="CB98" s="49">
        <v>0</v>
      </c>
      <c r="CC98" s="50">
        <v>0</v>
      </c>
      <c r="CD98" s="116">
        <v>0</v>
      </c>
      <c r="CE98" s="49">
        <v>0</v>
      </c>
      <c r="CF98" s="49">
        <v>0</v>
      </c>
      <c r="CG98" s="173">
        <v>688</v>
      </c>
      <c r="CH98" s="116">
        <v>0</v>
      </c>
      <c r="CI98" s="49">
        <v>0</v>
      </c>
      <c r="CJ98" s="49">
        <v>0</v>
      </c>
      <c r="CK98" s="173">
        <v>0</v>
      </c>
      <c r="CL98" s="116">
        <v>0</v>
      </c>
      <c r="CM98" s="49">
        <v>0</v>
      </c>
      <c r="CN98" s="49">
        <v>0</v>
      </c>
      <c r="CO98" s="173">
        <v>0</v>
      </c>
    </row>
    <row r="99" spans="1:93" s="52" customFormat="1" ht="13.5" customHeight="1">
      <c r="A99" s="14" t="s">
        <v>117</v>
      </c>
      <c r="B99" s="48">
        <v>0</v>
      </c>
      <c r="C99" s="49">
        <v>0</v>
      </c>
      <c r="D99" s="49">
        <v>0</v>
      </c>
      <c r="E99" s="50">
        <v>0</v>
      </c>
      <c r="F99" s="48">
        <v>0</v>
      </c>
      <c r="G99" s="49">
        <v>0</v>
      </c>
      <c r="H99" s="49">
        <v>0</v>
      </c>
      <c r="I99" s="50">
        <v>0</v>
      </c>
      <c r="J99" s="48">
        <v>0</v>
      </c>
      <c r="K99" s="49">
        <v>0</v>
      </c>
      <c r="L99" s="49">
        <v>0</v>
      </c>
      <c r="M99" s="50">
        <v>0</v>
      </c>
      <c r="N99" s="48">
        <v>0</v>
      </c>
      <c r="O99" s="49">
        <v>0</v>
      </c>
      <c r="P99" s="49">
        <v>0</v>
      </c>
      <c r="Q99" s="50">
        <v>0</v>
      </c>
      <c r="R99" s="48">
        <v>0</v>
      </c>
      <c r="S99" s="49">
        <v>0</v>
      </c>
      <c r="T99" s="49">
        <v>0</v>
      </c>
      <c r="U99" s="50">
        <v>0</v>
      </c>
      <c r="V99" s="48">
        <v>0</v>
      </c>
      <c r="W99" s="49">
        <v>0</v>
      </c>
      <c r="X99" s="49">
        <v>0</v>
      </c>
      <c r="Y99" s="50">
        <v>0</v>
      </c>
      <c r="Z99" s="48">
        <v>0</v>
      </c>
      <c r="AA99" s="49">
        <v>0</v>
      </c>
      <c r="AB99" s="49">
        <v>0</v>
      </c>
      <c r="AC99" s="50">
        <v>0</v>
      </c>
      <c r="AD99" s="48">
        <v>0</v>
      </c>
      <c r="AE99" s="49">
        <v>0</v>
      </c>
      <c r="AF99" s="49">
        <v>0</v>
      </c>
      <c r="AG99" s="50">
        <v>0</v>
      </c>
      <c r="AH99" s="48">
        <v>0</v>
      </c>
      <c r="AI99" s="49">
        <v>0</v>
      </c>
      <c r="AJ99" s="49">
        <v>0</v>
      </c>
      <c r="AK99" s="50">
        <v>0</v>
      </c>
      <c r="AL99" s="48">
        <v>0</v>
      </c>
      <c r="AM99" s="49">
        <v>0</v>
      </c>
      <c r="AN99" s="49">
        <v>0</v>
      </c>
      <c r="AO99" s="50">
        <v>0</v>
      </c>
      <c r="AP99" s="48">
        <v>0</v>
      </c>
      <c r="AQ99" s="49">
        <v>0</v>
      </c>
      <c r="AR99" s="49">
        <v>0</v>
      </c>
      <c r="AS99" s="50">
        <v>0</v>
      </c>
      <c r="AT99" s="48">
        <v>0</v>
      </c>
      <c r="AU99" s="49">
        <v>0</v>
      </c>
      <c r="AV99" s="49">
        <v>0</v>
      </c>
      <c r="AW99" s="50">
        <v>0</v>
      </c>
      <c r="AX99" s="48">
        <v>0</v>
      </c>
      <c r="AY99" s="49">
        <v>0</v>
      </c>
      <c r="AZ99" s="49">
        <v>0</v>
      </c>
      <c r="BA99" s="50">
        <v>0</v>
      </c>
      <c r="BB99" s="48">
        <v>0</v>
      </c>
      <c r="BC99" s="49">
        <v>0</v>
      </c>
      <c r="BD99" s="49">
        <v>0</v>
      </c>
      <c r="BE99" s="50">
        <v>0</v>
      </c>
      <c r="BF99" s="48">
        <v>0</v>
      </c>
      <c r="BG99" s="49">
        <v>0</v>
      </c>
      <c r="BH99" s="49">
        <v>0</v>
      </c>
      <c r="BI99" s="50">
        <v>0</v>
      </c>
      <c r="BJ99" s="48">
        <v>0</v>
      </c>
      <c r="BK99" s="49">
        <v>0</v>
      </c>
      <c r="BL99" s="49">
        <v>0</v>
      </c>
      <c r="BM99" s="51">
        <v>0</v>
      </c>
      <c r="BN99" s="48">
        <v>0</v>
      </c>
      <c r="BO99" s="49">
        <v>0</v>
      </c>
      <c r="BP99" s="49">
        <v>0</v>
      </c>
      <c r="BQ99" s="51">
        <v>0</v>
      </c>
      <c r="BR99" s="48">
        <v>0</v>
      </c>
      <c r="BS99" s="49">
        <v>0</v>
      </c>
      <c r="BT99" s="49">
        <v>0</v>
      </c>
      <c r="BU99" s="120">
        <v>0</v>
      </c>
      <c r="BV99" s="116">
        <v>0</v>
      </c>
      <c r="BW99" s="49">
        <v>0</v>
      </c>
      <c r="BX99" s="49">
        <v>0</v>
      </c>
      <c r="BY99" s="50">
        <v>0</v>
      </c>
      <c r="BZ99" s="116">
        <v>0</v>
      </c>
      <c r="CA99" s="49">
        <v>0</v>
      </c>
      <c r="CB99" s="49">
        <v>0</v>
      </c>
      <c r="CC99" s="50">
        <v>0</v>
      </c>
      <c r="CD99" s="116">
        <v>0</v>
      </c>
      <c r="CE99" s="49">
        <v>0</v>
      </c>
      <c r="CF99" s="49">
        <v>0</v>
      </c>
      <c r="CG99" s="50">
        <v>0</v>
      </c>
      <c r="CH99" s="116">
        <v>0</v>
      </c>
      <c r="CI99" s="49">
        <v>0</v>
      </c>
      <c r="CJ99" s="49">
        <v>0</v>
      </c>
      <c r="CK99" s="50">
        <v>0</v>
      </c>
      <c r="CL99" s="116">
        <v>0</v>
      </c>
      <c r="CM99" s="49">
        <v>0</v>
      </c>
      <c r="CN99" s="49">
        <v>0</v>
      </c>
      <c r="CO99" s="50">
        <v>0</v>
      </c>
    </row>
    <row r="100" spans="1:93" s="52" customFormat="1" ht="13.5" customHeight="1">
      <c r="A100" s="14" t="s">
        <v>56</v>
      </c>
      <c r="B100" s="48"/>
      <c r="C100" s="49">
        <f>399.84*2.2046</f>
        <v>881.487264</v>
      </c>
      <c r="D100" s="49">
        <v>0</v>
      </c>
      <c r="E100" s="50">
        <v>0</v>
      </c>
      <c r="F100" s="48"/>
      <c r="G100" s="49">
        <f>896.76*2.2046</f>
        <v>1976.997096</v>
      </c>
      <c r="H100" s="49">
        <v>0</v>
      </c>
      <c r="I100" s="50">
        <v>0</v>
      </c>
      <c r="J100" s="48"/>
      <c r="K100" s="49">
        <f>370.64*2.2046</f>
        <v>817.112944</v>
      </c>
      <c r="L100" s="49">
        <v>0</v>
      </c>
      <c r="M100" s="50">
        <v>0</v>
      </c>
      <c r="N100" s="48"/>
      <c r="O100" s="49">
        <f>24.4*2.2046</f>
        <v>53.79224</v>
      </c>
      <c r="P100" s="49">
        <v>0</v>
      </c>
      <c r="Q100" s="50">
        <v>0</v>
      </c>
      <c r="R100" s="48"/>
      <c r="S100" s="49">
        <f>31.71*2.2046</f>
        <v>69.907866</v>
      </c>
      <c r="T100" s="49">
        <v>0</v>
      </c>
      <c r="U100" s="50">
        <v>0</v>
      </c>
      <c r="V100" s="48"/>
      <c r="W100" s="49">
        <f>387.75*2.2046</f>
        <v>854.83365</v>
      </c>
      <c r="X100" s="49">
        <v>0</v>
      </c>
      <c r="Y100" s="50">
        <v>0</v>
      </c>
      <c r="Z100" s="48"/>
      <c r="AA100" s="49">
        <f>618.25*2.2046</f>
        <v>1362.99395</v>
      </c>
      <c r="AB100" s="49">
        <v>0</v>
      </c>
      <c r="AC100" s="50">
        <v>0</v>
      </c>
      <c r="AD100" s="48"/>
      <c r="AE100" s="49">
        <f>187.48*2.2046</f>
        <v>413.318408</v>
      </c>
      <c r="AF100" s="49">
        <v>0</v>
      </c>
      <c r="AG100" s="50">
        <v>0</v>
      </c>
      <c r="AH100" s="48"/>
      <c r="AI100" s="49">
        <f>108.58*2.2046</f>
        <v>239.375468</v>
      </c>
      <c r="AJ100" s="49">
        <v>0</v>
      </c>
      <c r="AK100" s="50">
        <v>0</v>
      </c>
      <c r="AL100" s="48"/>
      <c r="AM100" s="49">
        <f>558.85*2.2046</f>
        <v>1232.0407100000002</v>
      </c>
      <c r="AN100" s="49">
        <v>0</v>
      </c>
      <c r="AO100" s="50">
        <v>0</v>
      </c>
      <c r="AP100" s="48"/>
      <c r="AQ100" s="49">
        <f>343.66*2.2046</f>
        <v>757.6328360000001</v>
      </c>
      <c r="AR100" s="49">
        <v>0</v>
      </c>
      <c r="AS100" s="50">
        <v>0</v>
      </c>
      <c r="AT100" s="48"/>
      <c r="AU100" s="49">
        <f>517.07*2.2046</f>
        <v>1139.932522</v>
      </c>
      <c r="AV100" s="49">
        <v>0</v>
      </c>
      <c r="AW100" s="50">
        <v>0</v>
      </c>
      <c r="AX100" s="48"/>
      <c r="AY100" s="49">
        <f>245.68*2.2046</f>
        <v>541.626128</v>
      </c>
      <c r="AZ100" s="49">
        <v>0</v>
      </c>
      <c r="BA100" s="50">
        <v>0</v>
      </c>
      <c r="BB100" s="48"/>
      <c r="BC100" s="49">
        <f>184.61*2.2046</f>
        <v>406.99120600000003</v>
      </c>
      <c r="BD100" s="49">
        <v>0</v>
      </c>
      <c r="BE100" s="50">
        <v>0</v>
      </c>
      <c r="BF100" s="48"/>
      <c r="BG100" s="49">
        <f>91.18*2.2046</f>
        <v>201.015428</v>
      </c>
      <c r="BH100" s="49">
        <v>0</v>
      </c>
      <c r="BI100" s="50">
        <v>0</v>
      </c>
      <c r="BJ100" s="48"/>
      <c r="BK100" s="49">
        <f>392.19*2.2046</f>
        <v>864.622074</v>
      </c>
      <c r="BL100" s="49">
        <v>0</v>
      </c>
      <c r="BM100" s="51">
        <v>0</v>
      </c>
      <c r="BN100" s="48">
        <v>0</v>
      </c>
      <c r="BO100" s="49">
        <v>1215</v>
      </c>
      <c r="BP100" s="49">
        <v>0</v>
      </c>
      <c r="BQ100" s="51">
        <v>0</v>
      </c>
      <c r="BR100" s="48">
        <v>0</v>
      </c>
      <c r="BS100" s="49">
        <v>1547</v>
      </c>
      <c r="BT100" s="49">
        <v>0</v>
      </c>
      <c r="BU100" s="120">
        <v>0</v>
      </c>
      <c r="BV100" s="116">
        <v>0</v>
      </c>
      <c r="BW100" s="49">
        <v>0</v>
      </c>
      <c r="BX100" s="49">
        <v>0</v>
      </c>
      <c r="BY100" s="50">
        <v>0</v>
      </c>
      <c r="BZ100" s="116">
        <v>0</v>
      </c>
      <c r="CA100" s="49">
        <v>0</v>
      </c>
      <c r="CB100" s="49">
        <v>0</v>
      </c>
      <c r="CC100" s="50">
        <v>0</v>
      </c>
      <c r="CD100" s="116">
        <v>0</v>
      </c>
      <c r="CE100" s="49">
        <v>0</v>
      </c>
      <c r="CF100" s="49">
        <v>0</v>
      </c>
      <c r="CG100" s="50">
        <v>0</v>
      </c>
      <c r="CH100" s="116">
        <v>0</v>
      </c>
      <c r="CI100" s="49">
        <v>19.76</v>
      </c>
      <c r="CJ100" s="49">
        <v>0</v>
      </c>
      <c r="CK100" s="50">
        <v>0</v>
      </c>
      <c r="CL100" s="116">
        <v>0</v>
      </c>
      <c r="CM100" s="49">
        <v>19.61</v>
      </c>
      <c r="CN100" s="49">
        <v>0</v>
      </c>
      <c r="CO100" s="50">
        <v>0</v>
      </c>
    </row>
    <row r="101" spans="1:93" s="52" customFormat="1" ht="13.5" customHeight="1">
      <c r="A101" s="14" t="s">
        <v>58</v>
      </c>
      <c r="B101" s="48"/>
      <c r="C101" s="49">
        <f>1.22*2.2046</f>
        <v>2.689612</v>
      </c>
      <c r="D101" s="49">
        <v>0</v>
      </c>
      <c r="E101" s="50">
        <v>2333</v>
      </c>
      <c r="F101" s="48"/>
      <c r="G101" s="49">
        <f>10.78*2.2046</f>
        <v>23.765588</v>
      </c>
      <c r="H101" s="49">
        <v>44</v>
      </c>
      <c r="I101" s="50">
        <v>33695</v>
      </c>
      <c r="J101" s="48"/>
      <c r="K101" s="49">
        <f>19.41*2.2046</f>
        <v>42.791286</v>
      </c>
      <c r="L101" s="49">
        <v>0</v>
      </c>
      <c r="M101" s="50">
        <v>76440</v>
      </c>
      <c r="N101" s="48"/>
      <c r="O101" s="49">
        <f>2.08*2.2046</f>
        <v>4.585568</v>
      </c>
      <c r="P101" s="49">
        <v>0</v>
      </c>
      <c r="Q101" s="50">
        <v>46960</v>
      </c>
      <c r="R101" s="48"/>
      <c r="S101" s="49"/>
      <c r="T101" s="49">
        <v>0</v>
      </c>
      <c r="U101" s="50">
        <v>12546</v>
      </c>
      <c r="V101" s="48"/>
      <c r="W101" s="49">
        <f>5.27*2.2046</f>
        <v>11.618242</v>
      </c>
      <c r="X101" s="49">
        <v>0</v>
      </c>
      <c r="Y101" s="50">
        <v>22817</v>
      </c>
      <c r="Z101" s="48"/>
      <c r="AA101" s="49">
        <f>2.86*2.2046</f>
        <v>6.305156</v>
      </c>
      <c r="AB101" s="49">
        <v>0</v>
      </c>
      <c r="AC101" s="50">
        <v>934</v>
      </c>
      <c r="AD101" s="48"/>
      <c r="AE101" s="49"/>
      <c r="AF101" s="49">
        <v>0</v>
      </c>
      <c r="AG101" s="50">
        <v>12606</v>
      </c>
      <c r="AH101" s="48"/>
      <c r="AI101" s="49"/>
      <c r="AJ101" s="49">
        <v>0</v>
      </c>
      <c r="AK101" s="50">
        <v>13576</v>
      </c>
      <c r="AL101" s="48"/>
      <c r="AM101" s="49">
        <f>22.9*2.2046</f>
        <v>50.48534</v>
      </c>
      <c r="AN101" s="49">
        <v>802</v>
      </c>
      <c r="AO101" s="50">
        <v>3957</v>
      </c>
      <c r="AP101" s="48"/>
      <c r="AQ101" s="49">
        <f>23.52*2.2046</f>
        <v>51.852192</v>
      </c>
      <c r="AR101" s="49">
        <v>0</v>
      </c>
      <c r="AS101" s="50">
        <v>5957</v>
      </c>
      <c r="AT101" s="48"/>
      <c r="AU101" s="49">
        <f>52.48*2.2046</f>
        <v>115.697408</v>
      </c>
      <c r="AV101" s="49">
        <v>0</v>
      </c>
      <c r="AW101" s="50">
        <v>7650</v>
      </c>
      <c r="AX101" s="48"/>
      <c r="AY101" s="49"/>
      <c r="AZ101" s="49">
        <v>0</v>
      </c>
      <c r="BA101" s="50">
        <v>22804</v>
      </c>
      <c r="BB101" s="48"/>
      <c r="BC101" s="49">
        <f>1.08*2.2046</f>
        <v>2.380968</v>
      </c>
      <c r="BD101" s="49">
        <v>0</v>
      </c>
      <c r="BE101" s="50">
        <v>15622</v>
      </c>
      <c r="BF101" s="48"/>
      <c r="BG101" s="49"/>
      <c r="BH101" s="49">
        <v>0</v>
      </c>
      <c r="BI101" s="50">
        <v>11003</v>
      </c>
      <c r="BJ101" s="48"/>
      <c r="BK101" s="49"/>
      <c r="BL101" s="49">
        <v>82</v>
      </c>
      <c r="BM101" s="51">
        <v>5824</v>
      </c>
      <c r="BN101" s="48">
        <v>0</v>
      </c>
      <c r="BO101" s="49">
        <v>0</v>
      </c>
      <c r="BP101" s="49">
        <v>666</v>
      </c>
      <c r="BQ101" s="51">
        <v>14330</v>
      </c>
      <c r="BR101" s="48">
        <v>0</v>
      </c>
      <c r="BS101" s="49">
        <v>0</v>
      </c>
      <c r="BT101" s="49">
        <v>0</v>
      </c>
      <c r="BU101" s="120">
        <v>787</v>
      </c>
      <c r="BV101" s="116">
        <v>0</v>
      </c>
      <c r="BW101" s="49">
        <v>0</v>
      </c>
      <c r="BX101" s="160">
        <v>827</v>
      </c>
      <c r="BY101" s="50">
        <v>11775</v>
      </c>
      <c r="BZ101" s="116">
        <v>0</v>
      </c>
      <c r="CA101" s="49">
        <v>0</v>
      </c>
      <c r="CB101" s="159">
        <v>1312</v>
      </c>
      <c r="CC101" s="50">
        <v>4359</v>
      </c>
      <c r="CD101" s="116">
        <v>0</v>
      </c>
      <c r="CE101" s="49">
        <v>0</v>
      </c>
      <c r="CF101" s="160">
        <v>818</v>
      </c>
      <c r="CG101" s="173">
        <v>728</v>
      </c>
      <c r="CH101" s="116">
        <v>0</v>
      </c>
      <c r="CI101" s="49">
        <v>0</v>
      </c>
      <c r="CJ101" s="160">
        <v>362</v>
      </c>
      <c r="CK101" s="172">
        <v>11193</v>
      </c>
      <c r="CL101" s="116">
        <v>0</v>
      </c>
      <c r="CM101" s="49">
        <v>105.61</v>
      </c>
      <c r="CN101" s="160">
        <v>40</v>
      </c>
      <c r="CO101" s="172">
        <v>14167</v>
      </c>
    </row>
    <row r="102" spans="1:93" s="52" customFormat="1" ht="11.25">
      <c r="A102" s="30" t="s">
        <v>2</v>
      </c>
      <c r="B102" s="48"/>
      <c r="C102" s="49">
        <f>35.5*2.2046</f>
        <v>78.2633</v>
      </c>
      <c r="D102" s="49">
        <v>0</v>
      </c>
      <c r="E102" s="50">
        <v>0</v>
      </c>
      <c r="F102" s="48"/>
      <c r="G102" s="49">
        <f>4.38*2.2046</f>
        <v>9.656148</v>
      </c>
      <c r="H102" s="49">
        <v>0</v>
      </c>
      <c r="I102" s="50">
        <v>0</v>
      </c>
      <c r="J102" s="48"/>
      <c r="K102" s="49">
        <f>12.78*2.2046</f>
        <v>28.174788</v>
      </c>
      <c r="L102" s="49">
        <v>0</v>
      </c>
      <c r="M102" s="50">
        <v>0</v>
      </c>
      <c r="N102" s="48"/>
      <c r="O102" s="49"/>
      <c r="P102" s="49">
        <v>0</v>
      </c>
      <c r="Q102" s="50">
        <v>0</v>
      </c>
      <c r="R102" s="48"/>
      <c r="S102" s="49"/>
      <c r="T102" s="49">
        <v>0</v>
      </c>
      <c r="U102" s="50">
        <v>0</v>
      </c>
      <c r="V102" s="48"/>
      <c r="W102" s="49"/>
      <c r="X102" s="49">
        <v>0</v>
      </c>
      <c r="Y102" s="50">
        <v>0</v>
      </c>
      <c r="Z102" s="48"/>
      <c r="AA102" s="49"/>
      <c r="AB102" s="49">
        <v>0</v>
      </c>
      <c r="AC102" s="50">
        <v>295</v>
      </c>
      <c r="AD102" s="48"/>
      <c r="AE102" s="49"/>
      <c r="AF102" s="49">
        <v>0</v>
      </c>
      <c r="AG102" s="50">
        <v>0</v>
      </c>
      <c r="AH102" s="48"/>
      <c r="AI102" s="49"/>
      <c r="AJ102" s="49">
        <v>0</v>
      </c>
      <c r="AK102" s="50">
        <v>0</v>
      </c>
      <c r="AL102" s="48"/>
      <c r="AM102" s="49">
        <f>0.9*2.2046</f>
        <v>1.9841400000000002</v>
      </c>
      <c r="AN102" s="49">
        <v>0</v>
      </c>
      <c r="AO102" s="50">
        <v>212</v>
      </c>
      <c r="AP102" s="48"/>
      <c r="AQ102" s="49">
        <f>9.47*2.2046</f>
        <v>20.877562</v>
      </c>
      <c r="AR102" s="49">
        <v>0</v>
      </c>
      <c r="AS102" s="50">
        <v>381</v>
      </c>
      <c r="AT102" s="48"/>
      <c r="AU102" s="49">
        <f>1.58*2.2046</f>
        <v>3.4832680000000003</v>
      </c>
      <c r="AV102" s="49">
        <v>0</v>
      </c>
      <c r="AW102" s="50">
        <v>1453</v>
      </c>
      <c r="AX102" s="48"/>
      <c r="AY102" s="49"/>
      <c r="AZ102" s="49">
        <v>0</v>
      </c>
      <c r="BA102" s="50">
        <v>0</v>
      </c>
      <c r="BB102" s="48"/>
      <c r="BC102" s="49"/>
      <c r="BD102" s="49">
        <v>0</v>
      </c>
      <c r="BE102" s="50">
        <v>0</v>
      </c>
      <c r="BF102" s="48"/>
      <c r="BG102" s="49"/>
      <c r="BH102" s="49">
        <v>0</v>
      </c>
      <c r="BI102" s="50">
        <v>0</v>
      </c>
      <c r="BJ102" s="48"/>
      <c r="BK102" s="49"/>
      <c r="BL102" s="49">
        <v>0</v>
      </c>
      <c r="BM102" s="51">
        <v>317</v>
      </c>
      <c r="BN102" s="48">
        <v>0</v>
      </c>
      <c r="BO102" s="49">
        <v>0</v>
      </c>
      <c r="BP102" s="49">
        <v>0</v>
      </c>
      <c r="BQ102" s="51">
        <v>743</v>
      </c>
      <c r="BR102" s="48">
        <v>0</v>
      </c>
      <c r="BS102" s="49">
        <v>0</v>
      </c>
      <c r="BT102" s="49">
        <v>0</v>
      </c>
      <c r="BU102" s="120">
        <v>1182</v>
      </c>
      <c r="BV102" s="116">
        <v>0</v>
      </c>
      <c r="BW102" s="49">
        <v>0</v>
      </c>
      <c r="BX102" s="49">
        <v>0</v>
      </c>
      <c r="BY102" s="50">
        <v>0</v>
      </c>
      <c r="BZ102" s="116">
        <v>0</v>
      </c>
      <c r="CA102" s="49">
        <v>0</v>
      </c>
      <c r="CB102" s="49">
        <v>0</v>
      </c>
      <c r="CC102" s="173">
        <v>273</v>
      </c>
      <c r="CD102" s="116">
        <v>0</v>
      </c>
      <c r="CE102" s="49">
        <v>0</v>
      </c>
      <c r="CF102" s="49">
        <v>0</v>
      </c>
      <c r="CG102" s="50">
        <v>0</v>
      </c>
      <c r="CH102" s="116">
        <v>0</v>
      </c>
      <c r="CI102" s="49">
        <v>1.65</v>
      </c>
      <c r="CJ102" s="49">
        <v>0</v>
      </c>
      <c r="CK102" s="50">
        <v>0</v>
      </c>
      <c r="CL102" s="116">
        <v>0</v>
      </c>
      <c r="CM102" s="49">
        <v>6.75</v>
      </c>
      <c r="CN102" s="49">
        <v>42</v>
      </c>
      <c r="CO102" s="50">
        <v>0</v>
      </c>
    </row>
    <row r="103" spans="1:93" s="2" customFormat="1" ht="11.25">
      <c r="A103" s="13" t="s">
        <v>3</v>
      </c>
      <c r="B103" s="44"/>
      <c r="C103" s="45">
        <f>2721.78*2.2046</f>
        <v>6000.436188000001</v>
      </c>
      <c r="D103" s="45">
        <v>62</v>
      </c>
      <c r="E103" s="46">
        <v>191441</v>
      </c>
      <c r="F103" s="44"/>
      <c r="G103" s="45">
        <f>9406.58*2.2046</f>
        <v>20737.746268000003</v>
      </c>
      <c r="H103" s="45">
        <v>0</v>
      </c>
      <c r="I103" s="46">
        <v>9037</v>
      </c>
      <c r="J103" s="44"/>
      <c r="K103" s="45">
        <f>8148.58*2.2046</f>
        <v>17964.359468000002</v>
      </c>
      <c r="L103" s="45">
        <v>331</v>
      </c>
      <c r="M103" s="46">
        <v>0</v>
      </c>
      <c r="N103" s="44"/>
      <c r="O103" s="45">
        <f>7573.18*2.2046</f>
        <v>16695.832628</v>
      </c>
      <c r="P103" s="45">
        <v>0</v>
      </c>
      <c r="Q103" s="46">
        <v>1914</v>
      </c>
      <c r="R103" s="44"/>
      <c r="S103" s="45">
        <f>9081.2*2.2046</f>
        <v>20020.413520000002</v>
      </c>
      <c r="T103" s="45">
        <v>284</v>
      </c>
      <c r="U103" s="46">
        <v>518</v>
      </c>
      <c r="V103" s="44"/>
      <c r="W103" s="45">
        <f>4332.88*2.2046</f>
        <v>9552.267248</v>
      </c>
      <c r="X103" s="45">
        <v>33</v>
      </c>
      <c r="Y103" s="46">
        <v>10714</v>
      </c>
      <c r="Z103" s="44"/>
      <c r="AA103" s="45">
        <f>4783.7*2.2046</f>
        <v>10546.14502</v>
      </c>
      <c r="AB103" s="45">
        <v>1675</v>
      </c>
      <c r="AC103" s="46">
        <v>6728</v>
      </c>
      <c r="AD103" s="44">
        <v>2492</v>
      </c>
      <c r="AE103" s="45">
        <f>9097.82*2.2046</f>
        <v>20057.053972</v>
      </c>
      <c r="AF103" s="45">
        <v>0</v>
      </c>
      <c r="AG103" s="46">
        <v>13735</v>
      </c>
      <c r="AH103" s="44">
        <v>18</v>
      </c>
      <c r="AI103" s="45">
        <f>5240.38*2.2046</f>
        <v>11552.941748000001</v>
      </c>
      <c r="AJ103" s="45">
        <v>163</v>
      </c>
      <c r="AK103" s="46">
        <v>15520</v>
      </c>
      <c r="AL103" s="44">
        <v>494</v>
      </c>
      <c r="AM103" s="45">
        <f>5082.66*2.2046</f>
        <v>11205.232236</v>
      </c>
      <c r="AN103" s="45">
        <v>0</v>
      </c>
      <c r="AO103" s="46">
        <v>1508</v>
      </c>
      <c r="AP103" s="44">
        <v>3232</v>
      </c>
      <c r="AQ103" s="45">
        <f>5281.71*2.2046</f>
        <v>11644.057866000001</v>
      </c>
      <c r="AR103" s="45">
        <v>6016</v>
      </c>
      <c r="AS103" s="46">
        <v>966</v>
      </c>
      <c r="AT103" s="44">
        <v>3852</v>
      </c>
      <c r="AU103" s="45">
        <f>4568.82*2.2046</f>
        <v>10072.420571999999</v>
      </c>
      <c r="AV103" s="45">
        <v>979</v>
      </c>
      <c r="AW103" s="46">
        <v>2191</v>
      </c>
      <c r="AX103" s="44">
        <v>414</v>
      </c>
      <c r="AY103" s="45">
        <f>4645.29*2.2046</f>
        <v>10241.006334</v>
      </c>
      <c r="AZ103" s="45">
        <v>2482</v>
      </c>
      <c r="BA103" s="46">
        <v>14852</v>
      </c>
      <c r="BB103" s="44">
        <v>946</v>
      </c>
      <c r="BC103" s="45">
        <f>2458.77*2.2046</f>
        <v>5420.6043420000005</v>
      </c>
      <c r="BD103" s="45">
        <v>6054</v>
      </c>
      <c r="BE103" s="46">
        <v>11457</v>
      </c>
      <c r="BF103" s="44">
        <v>3339</v>
      </c>
      <c r="BG103" s="45">
        <v>7549</v>
      </c>
      <c r="BH103" s="45">
        <v>3926</v>
      </c>
      <c r="BI103" s="46">
        <v>8486</v>
      </c>
      <c r="BJ103" s="44">
        <v>1211</v>
      </c>
      <c r="BK103" s="45">
        <f>3097.09*2.2046</f>
        <v>6827.844614000001</v>
      </c>
      <c r="BL103" s="45">
        <v>2033</v>
      </c>
      <c r="BM103" s="47">
        <v>16455</v>
      </c>
      <c r="BN103" s="44">
        <v>1039</v>
      </c>
      <c r="BO103" s="45">
        <v>15179</v>
      </c>
      <c r="BP103" s="45">
        <v>3737</v>
      </c>
      <c r="BQ103" s="47">
        <v>8926</v>
      </c>
      <c r="BR103" s="44">
        <v>4040</v>
      </c>
      <c r="BS103" s="45">
        <v>16033</v>
      </c>
      <c r="BT103" s="45">
        <v>3456</v>
      </c>
      <c r="BU103" s="106">
        <v>16252</v>
      </c>
      <c r="BV103" s="129">
        <v>4488</v>
      </c>
      <c r="BW103" s="45">
        <v>16878.31</v>
      </c>
      <c r="BX103" s="159">
        <v>9392</v>
      </c>
      <c r="BY103" s="172">
        <v>20384</v>
      </c>
      <c r="BZ103" s="129">
        <v>6367</v>
      </c>
      <c r="CA103" s="45">
        <v>13115.74</v>
      </c>
      <c r="CB103" s="159">
        <v>12888</v>
      </c>
      <c r="CC103" s="46">
        <v>13571</v>
      </c>
      <c r="CD103" s="129">
        <v>2513</v>
      </c>
      <c r="CE103" s="45">
        <v>10841.74</v>
      </c>
      <c r="CF103" s="159">
        <v>3596</v>
      </c>
      <c r="CG103" s="46">
        <v>11592</v>
      </c>
      <c r="CH103" s="129">
        <v>3505</v>
      </c>
      <c r="CI103" s="45">
        <v>19783.38</v>
      </c>
      <c r="CJ103" s="159">
        <v>1440</v>
      </c>
      <c r="CK103" s="46">
        <v>14542</v>
      </c>
      <c r="CL103" s="129">
        <v>6609</v>
      </c>
      <c r="CM103" s="45">
        <v>10022.7</v>
      </c>
      <c r="CN103" s="159">
        <v>2482</v>
      </c>
      <c r="CO103" s="46">
        <v>46458</v>
      </c>
    </row>
    <row r="104" spans="1:93" s="2" customFormat="1" ht="11.25">
      <c r="A104" s="13" t="s">
        <v>4</v>
      </c>
      <c r="B104" s="44"/>
      <c r="C104" s="45">
        <f>345.77*2.2046</f>
        <v>762.284542</v>
      </c>
      <c r="D104" s="45">
        <v>0</v>
      </c>
      <c r="E104" s="46">
        <v>0</v>
      </c>
      <c r="F104" s="44"/>
      <c r="G104" s="45">
        <f>179.79*2.2046</f>
        <v>396.365034</v>
      </c>
      <c r="H104" s="45">
        <v>0</v>
      </c>
      <c r="I104" s="46">
        <v>0</v>
      </c>
      <c r="J104" s="44"/>
      <c r="K104" s="45">
        <f>517.75*2.2046</f>
        <v>1141.43165</v>
      </c>
      <c r="L104" s="45">
        <v>0</v>
      </c>
      <c r="M104" s="46">
        <v>0</v>
      </c>
      <c r="N104" s="44"/>
      <c r="O104" s="45">
        <f>99.28*2.2046</f>
        <v>218.872688</v>
      </c>
      <c r="P104" s="45">
        <v>0</v>
      </c>
      <c r="Q104" s="46">
        <v>0</v>
      </c>
      <c r="R104" s="44"/>
      <c r="S104" s="45">
        <f>67.8*2.2046</f>
        <v>149.47188</v>
      </c>
      <c r="T104" s="45">
        <v>0</v>
      </c>
      <c r="U104" s="46">
        <v>0</v>
      </c>
      <c r="V104" s="44"/>
      <c r="W104" s="45">
        <f>652.5*2.2046</f>
        <v>1438.5015</v>
      </c>
      <c r="X104" s="45">
        <v>0</v>
      </c>
      <c r="Y104" s="46">
        <v>0</v>
      </c>
      <c r="Z104" s="44"/>
      <c r="AA104" s="45">
        <f>1919.18*2.2046</f>
        <v>4231.024228</v>
      </c>
      <c r="AB104" s="45">
        <v>0</v>
      </c>
      <c r="AC104" s="46">
        <v>1063</v>
      </c>
      <c r="AD104" s="44"/>
      <c r="AE104" s="45">
        <f>1830.61*2.2046</f>
        <v>4035.762806</v>
      </c>
      <c r="AF104" s="45">
        <v>1228</v>
      </c>
      <c r="AG104" s="46">
        <v>2610</v>
      </c>
      <c r="AH104" s="44">
        <v>1</v>
      </c>
      <c r="AI104" s="45">
        <f>1250.25*2.2046</f>
        <v>2756.3011500000002</v>
      </c>
      <c r="AJ104" s="45">
        <v>0</v>
      </c>
      <c r="AK104" s="46">
        <v>8164</v>
      </c>
      <c r="AL104" s="44">
        <v>6</v>
      </c>
      <c r="AM104" s="45">
        <f>1006.64*2.2046</f>
        <v>2219.2385440000003</v>
      </c>
      <c r="AN104" s="45">
        <v>0</v>
      </c>
      <c r="AO104" s="46">
        <v>14046</v>
      </c>
      <c r="AP104" s="44"/>
      <c r="AQ104" s="45">
        <f>1732.43*2.2046</f>
        <v>3819.3151780000003</v>
      </c>
      <c r="AR104" s="45">
        <v>0</v>
      </c>
      <c r="AS104" s="46">
        <v>0</v>
      </c>
      <c r="AT104" s="44"/>
      <c r="AU104" s="45">
        <f>1242.3*2.2046</f>
        <v>2738.7745800000002</v>
      </c>
      <c r="AV104" s="45">
        <v>0</v>
      </c>
      <c r="AW104" s="46">
        <v>0</v>
      </c>
      <c r="AX104" s="44"/>
      <c r="AY104" s="45">
        <f>932.09*2.2046</f>
        <v>2054.8856140000003</v>
      </c>
      <c r="AZ104" s="45">
        <v>734</v>
      </c>
      <c r="BA104" s="46">
        <v>179</v>
      </c>
      <c r="BB104" s="44"/>
      <c r="BC104" s="45">
        <f>726.63*2.2046</f>
        <v>1601.928498</v>
      </c>
      <c r="BD104" s="45">
        <v>0</v>
      </c>
      <c r="BE104" s="46">
        <v>3446</v>
      </c>
      <c r="BF104" s="44"/>
      <c r="BG104" s="45">
        <f>1042.74*2.2046</f>
        <v>2298.8246040000004</v>
      </c>
      <c r="BH104" s="45">
        <v>0</v>
      </c>
      <c r="BI104" s="46">
        <v>736</v>
      </c>
      <c r="BJ104" s="44"/>
      <c r="BK104" s="45">
        <f>1414.6*2.2046</f>
        <v>3118.62716</v>
      </c>
      <c r="BL104" s="45">
        <v>0</v>
      </c>
      <c r="BM104" s="47">
        <v>591</v>
      </c>
      <c r="BN104" s="44">
        <v>0</v>
      </c>
      <c r="BO104" s="45">
        <v>831</v>
      </c>
      <c r="BP104" s="45">
        <v>0</v>
      </c>
      <c r="BQ104" s="47">
        <v>322</v>
      </c>
      <c r="BR104" s="44">
        <v>0</v>
      </c>
      <c r="BS104" s="45">
        <v>2543</v>
      </c>
      <c r="BT104" s="45">
        <v>234</v>
      </c>
      <c r="BU104" s="106">
        <v>1428</v>
      </c>
      <c r="BV104" s="129">
        <v>0</v>
      </c>
      <c r="BW104" s="45">
        <v>2561.73</v>
      </c>
      <c r="BX104" s="160">
        <v>190</v>
      </c>
      <c r="BY104" s="46">
        <v>0</v>
      </c>
      <c r="BZ104" s="129">
        <v>0</v>
      </c>
      <c r="CA104" s="45">
        <v>206.5</v>
      </c>
      <c r="CB104" s="160">
        <v>540</v>
      </c>
      <c r="CC104" s="46">
        <v>1803</v>
      </c>
      <c r="CD104" s="129">
        <v>0</v>
      </c>
      <c r="CE104" s="45">
        <v>1508.69</v>
      </c>
      <c r="CF104" s="160">
        <v>77</v>
      </c>
      <c r="CG104" s="173">
        <v>591</v>
      </c>
      <c r="CH104" s="129">
        <v>0</v>
      </c>
      <c r="CI104" s="45">
        <v>892.34</v>
      </c>
      <c r="CJ104" s="160">
        <v>267</v>
      </c>
      <c r="CK104" s="173">
        <v>0</v>
      </c>
      <c r="CL104" s="129">
        <v>0</v>
      </c>
      <c r="CM104" s="45">
        <v>684.56</v>
      </c>
      <c r="CN104" s="160">
        <v>0</v>
      </c>
      <c r="CO104" s="173">
        <v>0</v>
      </c>
    </row>
    <row r="105" spans="1:93" s="2" customFormat="1" ht="11.25">
      <c r="A105" s="13" t="s">
        <v>6</v>
      </c>
      <c r="B105" s="44">
        <v>89</v>
      </c>
      <c r="C105" s="45">
        <f>8982.75*2.2046</f>
        <v>19803.37065</v>
      </c>
      <c r="D105" s="45">
        <v>0</v>
      </c>
      <c r="E105" s="46">
        <v>4017</v>
      </c>
      <c r="F105" s="44">
        <v>215</v>
      </c>
      <c r="G105" s="45">
        <f>14859.96*2.2046</f>
        <v>32760.267816</v>
      </c>
      <c r="H105" s="45">
        <v>701</v>
      </c>
      <c r="I105" s="46">
        <v>7030</v>
      </c>
      <c r="J105" s="44">
        <v>9178</v>
      </c>
      <c r="K105" s="45">
        <f>10922.59*2.2046</f>
        <v>24079.941914000003</v>
      </c>
      <c r="L105" s="45">
        <v>3448</v>
      </c>
      <c r="M105" s="46">
        <v>3743</v>
      </c>
      <c r="N105" s="44">
        <v>277</v>
      </c>
      <c r="O105" s="45">
        <f>5109.53*2.2046</f>
        <v>11264.469838</v>
      </c>
      <c r="P105" s="45">
        <v>2174</v>
      </c>
      <c r="Q105" s="46">
        <v>13261</v>
      </c>
      <c r="R105" s="44">
        <v>866</v>
      </c>
      <c r="S105" s="45">
        <f>5585.93*2.2046</f>
        <v>12314.741278000001</v>
      </c>
      <c r="T105" s="45">
        <v>101</v>
      </c>
      <c r="U105" s="46">
        <v>7326</v>
      </c>
      <c r="V105" s="44">
        <v>865</v>
      </c>
      <c r="W105" s="45">
        <f>26231.95*2.2046</f>
        <v>57830.95697000001</v>
      </c>
      <c r="X105" s="45">
        <v>1810</v>
      </c>
      <c r="Y105" s="46">
        <v>11020</v>
      </c>
      <c r="Z105" s="44">
        <v>36</v>
      </c>
      <c r="AA105" s="45">
        <f>11120.39*2.2046</f>
        <v>24516.011794</v>
      </c>
      <c r="AB105" s="45">
        <v>3697</v>
      </c>
      <c r="AC105" s="46">
        <v>3816</v>
      </c>
      <c r="AD105" s="44">
        <v>148</v>
      </c>
      <c r="AE105" s="45">
        <f>12174.45*2.2046</f>
        <v>26839.792470000004</v>
      </c>
      <c r="AF105" s="45">
        <v>346</v>
      </c>
      <c r="AG105" s="46">
        <v>6111</v>
      </c>
      <c r="AH105" s="44">
        <v>33</v>
      </c>
      <c r="AI105" s="45">
        <f>7704.7*2.2046</f>
        <v>16985.78162</v>
      </c>
      <c r="AJ105" s="45">
        <v>518</v>
      </c>
      <c r="AK105" s="46">
        <v>11340</v>
      </c>
      <c r="AL105" s="44">
        <v>40</v>
      </c>
      <c r="AM105" s="45">
        <f>8592.83*2.2046</f>
        <v>18943.753018</v>
      </c>
      <c r="AN105" s="45">
        <v>4098</v>
      </c>
      <c r="AO105" s="46">
        <v>2705</v>
      </c>
      <c r="AP105" s="44">
        <v>47</v>
      </c>
      <c r="AQ105" s="45">
        <f>5637.05*2.2046</f>
        <v>12427.44043</v>
      </c>
      <c r="AR105" s="45">
        <v>734</v>
      </c>
      <c r="AS105" s="46">
        <v>6665</v>
      </c>
      <c r="AT105" s="44">
        <v>419</v>
      </c>
      <c r="AU105" s="45">
        <f>5316.74*2.2046</f>
        <v>11721.285004</v>
      </c>
      <c r="AV105" s="45">
        <v>1698</v>
      </c>
      <c r="AW105" s="46">
        <v>60496</v>
      </c>
      <c r="AX105" s="44">
        <v>190</v>
      </c>
      <c r="AY105" s="45">
        <f>4431.98*2.2046</f>
        <v>9770.743107999999</v>
      </c>
      <c r="AZ105" s="45">
        <v>1572</v>
      </c>
      <c r="BA105" s="46">
        <v>4455</v>
      </c>
      <c r="BB105" s="44"/>
      <c r="BC105" s="45">
        <f>3944.94*2.2046</f>
        <v>8697.014724</v>
      </c>
      <c r="BD105" s="45">
        <v>941</v>
      </c>
      <c r="BE105" s="46">
        <v>3212</v>
      </c>
      <c r="BF105" s="44"/>
      <c r="BG105" s="45">
        <v>10767</v>
      </c>
      <c r="BH105" s="45">
        <v>1803</v>
      </c>
      <c r="BI105" s="46">
        <v>7394</v>
      </c>
      <c r="BJ105" s="44"/>
      <c r="BK105" s="45">
        <f>4804.46*2.2046</f>
        <v>10591.912516</v>
      </c>
      <c r="BL105" s="45">
        <v>7055</v>
      </c>
      <c r="BM105" s="47">
        <v>11991</v>
      </c>
      <c r="BN105" s="44">
        <v>1</v>
      </c>
      <c r="BO105" s="45">
        <v>23874</v>
      </c>
      <c r="BP105" s="45">
        <v>877</v>
      </c>
      <c r="BQ105" s="47">
        <v>1647</v>
      </c>
      <c r="BR105" s="44">
        <v>1</v>
      </c>
      <c r="BS105" s="45">
        <v>6124</v>
      </c>
      <c r="BT105" s="45">
        <v>2141</v>
      </c>
      <c r="BU105" s="106">
        <v>11538</v>
      </c>
      <c r="BV105" s="129">
        <v>29</v>
      </c>
      <c r="BW105" s="45">
        <v>5703.26</v>
      </c>
      <c r="BX105" s="159">
        <v>1578</v>
      </c>
      <c r="BY105" s="172">
        <v>10580</v>
      </c>
      <c r="BZ105" s="129">
        <v>0</v>
      </c>
      <c r="CA105" s="45">
        <v>4833.62</v>
      </c>
      <c r="CB105" s="160">
        <v>567</v>
      </c>
      <c r="CC105" s="46">
        <v>18188</v>
      </c>
      <c r="CD105" s="129">
        <v>0</v>
      </c>
      <c r="CE105" s="45">
        <v>5680.56</v>
      </c>
      <c r="CF105" s="160">
        <v>844</v>
      </c>
      <c r="CG105" s="46">
        <v>7086</v>
      </c>
      <c r="CH105" s="129">
        <v>0</v>
      </c>
      <c r="CI105" s="45">
        <v>8036.38</v>
      </c>
      <c r="CJ105" s="159">
        <v>4971</v>
      </c>
      <c r="CK105" s="46">
        <v>21790</v>
      </c>
      <c r="CL105" s="129">
        <v>0</v>
      </c>
      <c r="CM105" s="45">
        <v>4244.04</v>
      </c>
      <c r="CN105" s="160">
        <v>342</v>
      </c>
      <c r="CO105" s="46">
        <v>26860</v>
      </c>
    </row>
    <row r="106" spans="1:93" s="2" customFormat="1" ht="11.25">
      <c r="A106" s="13" t="s">
        <v>7</v>
      </c>
      <c r="B106" s="44">
        <v>32438</v>
      </c>
      <c r="C106" s="45">
        <f>16765.97*2.2046</f>
        <v>36962.257462</v>
      </c>
      <c r="D106" s="45">
        <v>0</v>
      </c>
      <c r="E106" s="46">
        <v>0</v>
      </c>
      <c r="F106" s="44">
        <v>51060</v>
      </c>
      <c r="G106" s="45">
        <f>16742.37*2.2046</f>
        <v>36910.228902</v>
      </c>
      <c r="H106" s="45">
        <v>5959</v>
      </c>
      <c r="I106" s="46">
        <v>5038</v>
      </c>
      <c r="J106" s="44">
        <v>75008</v>
      </c>
      <c r="K106" s="45">
        <f>47677.47*2.2046</f>
        <v>105109.750362</v>
      </c>
      <c r="L106" s="45">
        <v>225</v>
      </c>
      <c r="M106" s="46">
        <v>2385</v>
      </c>
      <c r="N106" s="44">
        <v>34323</v>
      </c>
      <c r="O106" s="45">
        <f>11062.76*2.2046</f>
        <v>24388.960696000002</v>
      </c>
      <c r="P106" s="45">
        <v>2044</v>
      </c>
      <c r="Q106" s="46">
        <v>4552</v>
      </c>
      <c r="R106" s="44">
        <v>44139</v>
      </c>
      <c r="S106" s="45">
        <f>10382.20467*2.2046</f>
        <v>22888.608415482</v>
      </c>
      <c r="T106" s="45">
        <v>4096</v>
      </c>
      <c r="U106" s="46">
        <v>21083</v>
      </c>
      <c r="V106" s="44">
        <v>46291</v>
      </c>
      <c r="W106" s="45">
        <f>15158.01*2.2046</f>
        <v>33417.348846</v>
      </c>
      <c r="X106" s="45">
        <v>311</v>
      </c>
      <c r="Y106" s="46">
        <v>566</v>
      </c>
      <c r="Z106" s="44">
        <v>43343</v>
      </c>
      <c r="AA106" s="45">
        <f>8081.01*2.2046</f>
        <v>17815.394646</v>
      </c>
      <c r="AB106" s="45">
        <v>7297</v>
      </c>
      <c r="AC106" s="46">
        <v>6385</v>
      </c>
      <c r="AD106" s="44">
        <v>43437</v>
      </c>
      <c r="AE106" s="45">
        <f>14542.97*2.2046</f>
        <v>32061.431662</v>
      </c>
      <c r="AF106" s="45">
        <v>10829</v>
      </c>
      <c r="AG106" s="46">
        <v>2529</v>
      </c>
      <c r="AH106" s="44">
        <v>38521</v>
      </c>
      <c r="AI106" s="45">
        <f>9101.35*2.2046</f>
        <v>20064.83621</v>
      </c>
      <c r="AJ106" s="45">
        <v>14083</v>
      </c>
      <c r="AK106" s="46">
        <v>3935</v>
      </c>
      <c r="AL106" s="44">
        <v>44471</v>
      </c>
      <c r="AM106" s="45">
        <f>9203.58*2.2046</f>
        <v>20290.212468</v>
      </c>
      <c r="AN106" s="45">
        <v>13093</v>
      </c>
      <c r="AO106" s="46">
        <v>7024</v>
      </c>
      <c r="AP106" s="44">
        <v>43095</v>
      </c>
      <c r="AQ106" s="45">
        <f>10439.4*2.2046</f>
        <v>23014.701240000002</v>
      </c>
      <c r="AR106" s="45">
        <v>6288</v>
      </c>
      <c r="AS106" s="46">
        <v>4513</v>
      </c>
      <c r="AT106" s="44">
        <v>36550</v>
      </c>
      <c r="AU106" s="45">
        <f>10073.35*2.2046</f>
        <v>22207.707410000003</v>
      </c>
      <c r="AV106" s="45">
        <v>3609</v>
      </c>
      <c r="AW106" s="46">
        <v>0</v>
      </c>
      <c r="AX106" s="44">
        <v>42874</v>
      </c>
      <c r="AY106" s="45">
        <f>7484.07*2.2046</f>
        <v>16499.380722</v>
      </c>
      <c r="AZ106" s="45">
        <v>0</v>
      </c>
      <c r="BA106" s="46">
        <v>2795</v>
      </c>
      <c r="BB106" s="44">
        <v>44297</v>
      </c>
      <c r="BC106" s="45">
        <f>7402.87*2.2046</f>
        <v>16320.367202000001</v>
      </c>
      <c r="BD106" s="45">
        <v>4925</v>
      </c>
      <c r="BE106" s="46">
        <v>2722</v>
      </c>
      <c r="BF106" s="44">
        <v>35521</v>
      </c>
      <c r="BG106" s="45">
        <v>11271</v>
      </c>
      <c r="BH106" s="45">
        <v>999</v>
      </c>
      <c r="BI106" s="46">
        <v>4268</v>
      </c>
      <c r="BJ106" s="44">
        <v>49720</v>
      </c>
      <c r="BK106" s="45">
        <f>7691.32*2.2046</f>
        <v>16956.284072</v>
      </c>
      <c r="BL106" s="45">
        <v>5582</v>
      </c>
      <c r="BM106" s="47">
        <v>0</v>
      </c>
      <c r="BN106" s="44">
        <v>44478</v>
      </c>
      <c r="BO106" s="45">
        <v>14057</v>
      </c>
      <c r="BP106" s="45">
        <v>5247</v>
      </c>
      <c r="BQ106" s="47">
        <v>1248</v>
      </c>
      <c r="BR106" s="44">
        <v>25849</v>
      </c>
      <c r="BS106" s="45">
        <v>12880</v>
      </c>
      <c r="BT106" s="45">
        <v>7376</v>
      </c>
      <c r="BU106" s="106">
        <v>14182</v>
      </c>
      <c r="BV106" s="129">
        <v>16293</v>
      </c>
      <c r="BW106" s="45">
        <v>17319.23</v>
      </c>
      <c r="BX106" s="159">
        <v>7608</v>
      </c>
      <c r="BY106" s="172">
        <v>5703</v>
      </c>
      <c r="BZ106" s="129">
        <v>14421</v>
      </c>
      <c r="CA106" s="45">
        <v>6764.77</v>
      </c>
      <c r="CB106" s="159">
        <v>8622</v>
      </c>
      <c r="CC106" s="46">
        <v>11274</v>
      </c>
      <c r="CD106" s="129">
        <v>22517</v>
      </c>
      <c r="CE106" s="45">
        <v>11324.14</v>
      </c>
      <c r="CF106" s="159">
        <v>1008</v>
      </c>
      <c r="CG106" s="46">
        <v>5130</v>
      </c>
      <c r="CH106" s="129">
        <v>19386</v>
      </c>
      <c r="CI106" s="45">
        <v>14643</v>
      </c>
      <c r="CJ106" s="159">
        <v>2630</v>
      </c>
      <c r="CK106" s="46">
        <v>2815</v>
      </c>
      <c r="CL106" s="129">
        <v>23883</v>
      </c>
      <c r="CM106" s="45">
        <v>6181.91</v>
      </c>
      <c r="CN106" s="159">
        <v>2178</v>
      </c>
      <c r="CO106" s="46">
        <v>5511</v>
      </c>
    </row>
    <row r="107" spans="1:93" s="52" customFormat="1" ht="11.25">
      <c r="A107" s="14" t="s">
        <v>5</v>
      </c>
      <c r="B107" s="48"/>
      <c r="C107" s="49">
        <f>108.9*2.2046</f>
        <v>240.08094000000003</v>
      </c>
      <c r="D107" s="49">
        <v>0</v>
      </c>
      <c r="E107" s="50">
        <v>258</v>
      </c>
      <c r="F107" s="48"/>
      <c r="G107" s="49">
        <f>144.67*2.2046</f>
        <v>318.939482</v>
      </c>
      <c r="H107" s="49">
        <v>368</v>
      </c>
      <c r="I107" s="50">
        <v>4041</v>
      </c>
      <c r="J107" s="48"/>
      <c r="K107" s="49">
        <f>280.9*2.2046</f>
        <v>619.27214</v>
      </c>
      <c r="L107" s="49">
        <v>4376</v>
      </c>
      <c r="M107" s="50">
        <v>692</v>
      </c>
      <c r="N107" s="48"/>
      <c r="O107" s="49">
        <f>269.97*2.2046</f>
        <v>595.175862</v>
      </c>
      <c r="P107" s="49">
        <v>1265</v>
      </c>
      <c r="Q107" s="50">
        <v>483</v>
      </c>
      <c r="R107" s="48"/>
      <c r="S107" s="49">
        <f>40.15*2.2046</f>
        <v>88.51469</v>
      </c>
      <c r="T107" s="49">
        <v>0</v>
      </c>
      <c r="U107" s="50">
        <v>0</v>
      </c>
      <c r="V107" s="48"/>
      <c r="W107" s="49">
        <f>189.87*2.2046</f>
        <v>418.58740200000005</v>
      </c>
      <c r="X107" s="49">
        <v>0</v>
      </c>
      <c r="Y107" s="50">
        <v>1599</v>
      </c>
      <c r="Z107" s="48"/>
      <c r="AA107" s="49"/>
      <c r="AB107" s="49">
        <v>0</v>
      </c>
      <c r="AC107" s="50">
        <v>0</v>
      </c>
      <c r="AD107" s="48"/>
      <c r="AE107" s="49">
        <f>1.28*2.2046</f>
        <v>2.8218880000000004</v>
      </c>
      <c r="AF107" s="49">
        <v>0</v>
      </c>
      <c r="AG107" s="50">
        <v>176</v>
      </c>
      <c r="AH107" s="48"/>
      <c r="AI107" s="49">
        <f>1.25*2.2046</f>
        <v>2.75575</v>
      </c>
      <c r="AJ107" s="49">
        <v>0</v>
      </c>
      <c r="AK107" s="50">
        <v>783</v>
      </c>
      <c r="AL107" s="48"/>
      <c r="AM107" s="49">
        <f>0.92*2.2046</f>
        <v>2.028232</v>
      </c>
      <c r="AN107" s="49">
        <v>0</v>
      </c>
      <c r="AO107" s="50">
        <v>0</v>
      </c>
      <c r="AP107" s="48"/>
      <c r="AQ107" s="49">
        <f>27.18*2.2046</f>
        <v>59.921028</v>
      </c>
      <c r="AR107" s="49">
        <v>0</v>
      </c>
      <c r="AS107" s="50">
        <v>0</v>
      </c>
      <c r="AT107" s="48">
        <v>7</v>
      </c>
      <c r="AU107" s="49">
        <f>2.65*2.2046</f>
        <v>5.84219</v>
      </c>
      <c r="AV107" s="49">
        <v>0</v>
      </c>
      <c r="AW107" s="50">
        <v>0</v>
      </c>
      <c r="AX107" s="48"/>
      <c r="AY107" s="49"/>
      <c r="AZ107" s="49">
        <v>0</v>
      </c>
      <c r="BA107" s="50">
        <v>0</v>
      </c>
      <c r="BB107" s="48"/>
      <c r="BC107" s="49"/>
      <c r="BD107" s="49">
        <v>0</v>
      </c>
      <c r="BE107" s="50">
        <v>183</v>
      </c>
      <c r="BF107" s="48"/>
      <c r="BG107" s="49"/>
      <c r="BH107" s="49">
        <v>15</v>
      </c>
      <c r="BI107" s="50">
        <v>0</v>
      </c>
      <c r="BJ107" s="48"/>
      <c r="BK107" s="49">
        <f>1.08*2.2046</f>
        <v>2.380968</v>
      </c>
      <c r="BL107" s="49">
        <v>0</v>
      </c>
      <c r="BM107" s="51">
        <v>0</v>
      </c>
      <c r="BN107" s="48">
        <v>0</v>
      </c>
      <c r="BO107" s="49">
        <v>0</v>
      </c>
      <c r="BP107" s="49">
        <v>0</v>
      </c>
      <c r="BQ107" s="51">
        <v>0</v>
      </c>
      <c r="BR107" s="48">
        <v>5</v>
      </c>
      <c r="BS107" s="49">
        <v>0</v>
      </c>
      <c r="BT107" s="49">
        <v>0</v>
      </c>
      <c r="BU107" s="120">
        <v>0</v>
      </c>
      <c r="BV107" s="189">
        <v>807</v>
      </c>
      <c r="BW107" s="49">
        <v>0</v>
      </c>
      <c r="BX107" s="49">
        <v>0</v>
      </c>
      <c r="BY107" s="50">
        <v>0</v>
      </c>
      <c r="BZ107" s="189">
        <v>32</v>
      </c>
      <c r="CA107" s="49">
        <v>0</v>
      </c>
      <c r="CB107" s="49">
        <v>0</v>
      </c>
      <c r="CC107" s="50">
        <v>0</v>
      </c>
      <c r="CD107" s="189">
        <v>16</v>
      </c>
      <c r="CE107" s="49">
        <v>0</v>
      </c>
      <c r="CF107" s="49">
        <v>0</v>
      </c>
      <c r="CG107" s="50">
        <v>0</v>
      </c>
      <c r="CH107" s="189">
        <v>13</v>
      </c>
      <c r="CI107" s="49">
        <v>16.81</v>
      </c>
      <c r="CJ107" s="49">
        <v>0</v>
      </c>
      <c r="CK107" s="50">
        <v>0</v>
      </c>
      <c r="CL107" s="189">
        <v>0</v>
      </c>
      <c r="CM107" s="49">
        <v>0</v>
      </c>
      <c r="CN107" s="49">
        <v>0</v>
      </c>
      <c r="CO107" s="50">
        <v>0</v>
      </c>
    </row>
    <row r="108" spans="1:93" s="52" customFormat="1" ht="11.25">
      <c r="A108" s="14" t="s">
        <v>51</v>
      </c>
      <c r="B108" s="48">
        <v>384555</v>
      </c>
      <c r="C108" s="49">
        <f>22.96*2.2046</f>
        <v>50.617616000000005</v>
      </c>
      <c r="D108" s="49">
        <v>1916</v>
      </c>
      <c r="E108" s="50">
        <v>1399956</v>
      </c>
      <c r="F108" s="48">
        <v>401904</v>
      </c>
      <c r="G108" s="49">
        <f>12.6*2.2046</f>
        <v>27.77796</v>
      </c>
      <c r="H108" s="49">
        <v>553</v>
      </c>
      <c r="I108" s="50">
        <v>1890579</v>
      </c>
      <c r="J108" s="48">
        <v>359721</v>
      </c>
      <c r="K108" s="49">
        <f>19.9*2.2046</f>
        <v>43.871539999999996</v>
      </c>
      <c r="L108" s="49">
        <v>10106</v>
      </c>
      <c r="M108" s="50">
        <v>1558919</v>
      </c>
      <c r="N108" s="48">
        <v>313532</v>
      </c>
      <c r="O108" s="49">
        <f>2.67*2.2046</f>
        <v>5.8862820000000005</v>
      </c>
      <c r="P108" s="49">
        <v>3197</v>
      </c>
      <c r="Q108" s="50">
        <v>917674</v>
      </c>
      <c r="R108" s="48">
        <v>425589</v>
      </c>
      <c r="S108" s="49">
        <f>9.9*2.2046</f>
        <v>21.82554</v>
      </c>
      <c r="T108" s="49">
        <v>340</v>
      </c>
      <c r="U108" s="50">
        <v>1243048</v>
      </c>
      <c r="V108" s="48">
        <v>453483</v>
      </c>
      <c r="W108" s="49">
        <f>15.22*2.2046</f>
        <v>33.554012</v>
      </c>
      <c r="X108" s="49">
        <v>4467</v>
      </c>
      <c r="Y108" s="50">
        <v>2014469</v>
      </c>
      <c r="Z108" s="48">
        <v>435993</v>
      </c>
      <c r="AA108" s="49">
        <f>50.28*2.2046</f>
        <v>110.847288</v>
      </c>
      <c r="AB108" s="49">
        <v>4764</v>
      </c>
      <c r="AC108" s="50">
        <v>2461271</v>
      </c>
      <c r="AD108" s="48">
        <v>367062</v>
      </c>
      <c r="AE108" s="49">
        <f>9.46*2.2046</f>
        <v>20.855516</v>
      </c>
      <c r="AF108" s="49">
        <v>37282</v>
      </c>
      <c r="AG108" s="50">
        <v>1841257</v>
      </c>
      <c r="AH108" s="48">
        <v>431166</v>
      </c>
      <c r="AI108" s="49">
        <f>127.23*2.2046</f>
        <v>280.491258</v>
      </c>
      <c r="AJ108" s="49">
        <v>165451</v>
      </c>
      <c r="AK108" s="50">
        <v>2736920</v>
      </c>
      <c r="AL108" s="48">
        <v>351176</v>
      </c>
      <c r="AM108" s="49">
        <f>16.9*2.2046</f>
        <v>37.25774</v>
      </c>
      <c r="AN108" s="49">
        <v>322222</v>
      </c>
      <c r="AO108" s="50">
        <v>2378052</v>
      </c>
      <c r="AP108" s="48">
        <v>241373</v>
      </c>
      <c r="AQ108" s="49">
        <f>4.23*2.2046</f>
        <v>9.325458000000001</v>
      </c>
      <c r="AR108" s="49">
        <v>196205</v>
      </c>
      <c r="AS108" s="50">
        <v>1570724</v>
      </c>
      <c r="AT108" s="48">
        <v>213887</v>
      </c>
      <c r="AU108" s="49">
        <f>0.95*2.2046</f>
        <v>2.09437</v>
      </c>
      <c r="AV108" s="49">
        <v>39764</v>
      </c>
      <c r="AW108" s="50">
        <v>1039423</v>
      </c>
      <c r="AX108" s="48">
        <v>209986</v>
      </c>
      <c r="AY108" s="49">
        <f>3.44*2.2046</f>
        <v>7.583824</v>
      </c>
      <c r="AZ108" s="49">
        <v>9702</v>
      </c>
      <c r="BA108" s="50">
        <v>920445</v>
      </c>
      <c r="BB108" s="48">
        <v>187305</v>
      </c>
      <c r="BC108" s="49">
        <f>1.17*2.2046</f>
        <v>2.579382</v>
      </c>
      <c r="BD108" s="49">
        <v>34275</v>
      </c>
      <c r="BE108" s="50">
        <v>1223006</v>
      </c>
      <c r="BF108" s="48">
        <v>301414</v>
      </c>
      <c r="BG108" s="49">
        <f>7.78*2.2046</f>
        <v>17.151788</v>
      </c>
      <c r="BH108" s="49">
        <v>4072</v>
      </c>
      <c r="BI108" s="50">
        <v>2040060</v>
      </c>
      <c r="BJ108" s="48">
        <v>224116</v>
      </c>
      <c r="BK108" s="49">
        <f>12.46*2.2046</f>
        <v>27.469316000000003</v>
      </c>
      <c r="BL108" s="49">
        <v>7571</v>
      </c>
      <c r="BM108" s="51">
        <v>1974374</v>
      </c>
      <c r="BN108" s="48">
        <v>205723</v>
      </c>
      <c r="BO108" s="49">
        <v>7</v>
      </c>
      <c r="BP108" s="49">
        <v>2725</v>
      </c>
      <c r="BQ108" s="51">
        <v>1117713</v>
      </c>
      <c r="BR108" s="48">
        <v>205412</v>
      </c>
      <c r="BS108" s="49">
        <v>15</v>
      </c>
      <c r="BT108" s="49">
        <v>12644</v>
      </c>
      <c r="BU108" s="120">
        <v>1773771</v>
      </c>
      <c r="BV108" s="116">
        <v>205194</v>
      </c>
      <c r="BW108" s="49">
        <v>44.09</v>
      </c>
      <c r="BX108" s="161">
        <v>3997</v>
      </c>
      <c r="BY108" s="50">
        <v>1431570</v>
      </c>
      <c r="BZ108" s="116">
        <v>227153</v>
      </c>
      <c r="CA108" s="49">
        <v>66.03</v>
      </c>
      <c r="CB108" s="161">
        <v>18241</v>
      </c>
      <c r="CC108" s="50">
        <v>1605486</v>
      </c>
      <c r="CD108" s="116">
        <v>222004</v>
      </c>
      <c r="CE108" s="49">
        <v>2.76</v>
      </c>
      <c r="CF108" s="161">
        <v>2121</v>
      </c>
      <c r="CG108" s="50">
        <v>1447423</v>
      </c>
      <c r="CH108" s="116">
        <v>235731</v>
      </c>
      <c r="CI108" s="49">
        <v>6.44</v>
      </c>
      <c r="CJ108" s="161">
        <v>6768</v>
      </c>
      <c r="CK108" s="50">
        <v>1998488</v>
      </c>
      <c r="CL108" s="116">
        <v>262333</v>
      </c>
      <c r="CM108" s="49">
        <v>18.81</v>
      </c>
      <c r="CN108" s="161">
        <v>18245</v>
      </c>
      <c r="CO108" s="50">
        <v>2263372</v>
      </c>
    </row>
    <row r="109" spans="1:93" s="52" customFormat="1" ht="11.25">
      <c r="A109" s="14" t="s">
        <v>8</v>
      </c>
      <c r="B109" s="48">
        <v>367027</v>
      </c>
      <c r="C109" s="49">
        <f>889.64*2.2046</f>
        <v>1961.300344</v>
      </c>
      <c r="D109" s="49">
        <v>0</v>
      </c>
      <c r="E109" s="50">
        <v>4929</v>
      </c>
      <c r="F109" s="48">
        <v>252748</v>
      </c>
      <c r="G109" s="49">
        <f>791.08*2.2046</f>
        <v>1744.0149680000002</v>
      </c>
      <c r="H109" s="49">
        <v>0</v>
      </c>
      <c r="I109" s="50">
        <v>558</v>
      </c>
      <c r="J109" s="48">
        <v>125817</v>
      </c>
      <c r="K109" s="49">
        <f>967.85*2.2046</f>
        <v>2133.72211</v>
      </c>
      <c r="L109" s="49">
        <v>0</v>
      </c>
      <c r="M109" s="50">
        <v>1041</v>
      </c>
      <c r="N109" s="48">
        <v>18690</v>
      </c>
      <c r="O109" s="49">
        <f>15.7*2.2046</f>
        <v>34.61222</v>
      </c>
      <c r="P109" s="49">
        <v>121</v>
      </c>
      <c r="Q109" s="50">
        <v>3589</v>
      </c>
      <c r="R109" s="48">
        <v>103124</v>
      </c>
      <c r="S109" s="49">
        <f>739.58*2.2046</f>
        <v>1630.4780680000001</v>
      </c>
      <c r="T109" s="49">
        <v>0</v>
      </c>
      <c r="U109" s="50">
        <v>518</v>
      </c>
      <c r="V109" s="48">
        <v>128420</v>
      </c>
      <c r="W109" s="49">
        <f>4919.93*2.2046</f>
        <v>10846.477678000001</v>
      </c>
      <c r="X109" s="49">
        <v>0</v>
      </c>
      <c r="Y109" s="50">
        <v>2707</v>
      </c>
      <c r="Z109" s="48">
        <v>174404</v>
      </c>
      <c r="AA109" s="49">
        <f>795.91*2.2046</f>
        <v>1754.663186</v>
      </c>
      <c r="AB109" s="49">
        <v>0</v>
      </c>
      <c r="AC109" s="50">
        <v>9909</v>
      </c>
      <c r="AD109" s="48">
        <v>88731</v>
      </c>
      <c r="AE109" s="49">
        <f>1658.5*2.2046</f>
        <v>3656.3291000000004</v>
      </c>
      <c r="AF109" s="49">
        <v>0</v>
      </c>
      <c r="AG109" s="50">
        <v>3723</v>
      </c>
      <c r="AH109" s="48">
        <v>56488</v>
      </c>
      <c r="AI109" s="49">
        <f>1275.17*2.2046</f>
        <v>2811.239782</v>
      </c>
      <c r="AJ109" s="49">
        <v>1063</v>
      </c>
      <c r="AK109" s="50">
        <v>9135</v>
      </c>
      <c r="AL109" s="48">
        <v>11256</v>
      </c>
      <c r="AM109" s="49">
        <f>1786.82*2.2046</f>
        <v>3939.223372</v>
      </c>
      <c r="AN109" s="49">
        <v>0</v>
      </c>
      <c r="AO109" s="50">
        <v>895</v>
      </c>
      <c r="AP109" s="48">
        <v>57519</v>
      </c>
      <c r="AQ109" s="49">
        <f>2075.61*2.2046</f>
        <v>4575.889806</v>
      </c>
      <c r="AR109" s="49">
        <v>126</v>
      </c>
      <c r="AS109" s="50">
        <v>99</v>
      </c>
      <c r="AT109" s="48">
        <v>362</v>
      </c>
      <c r="AU109" s="49">
        <f>721.87*2.2046</f>
        <v>1591.434602</v>
      </c>
      <c r="AV109" s="49">
        <v>3519</v>
      </c>
      <c r="AW109" s="50">
        <v>8860</v>
      </c>
      <c r="AX109" s="48">
        <v>14567</v>
      </c>
      <c r="AY109" s="49">
        <f>282.20467*2.2046</f>
        <v>622.1484154820001</v>
      </c>
      <c r="AZ109" s="49">
        <v>108</v>
      </c>
      <c r="BA109" s="50">
        <v>1138</v>
      </c>
      <c r="BB109" s="48">
        <v>2</v>
      </c>
      <c r="BC109" s="49">
        <f>173.89*2.2046</f>
        <v>383.357894</v>
      </c>
      <c r="BD109" s="49">
        <v>0</v>
      </c>
      <c r="BE109" s="50">
        <v>0</v>
      </c>
      <c r="BF109" s="48"/>
      <c r="BG109" s="49">
        <f>293.01*2.2046</f>
        <v>645.969846</v>
      </c>
      <c r="BH109" s="49">
        <v>68</v>
      </c>
      <c r="BI109" s="50">
        <v>0</v>
      </c>
      <c r="BJ109" s="48"/>
      <c r="BK109" s="49">
        <f>2762.33*2.2046</f>
        <v>6089.832718000001</v>
      </c>
      <c r="BL109" s="49">
        <v>0</v>
      </c>
      <c r="BM109" s="51">
        <v>1914</v>
      </c>
      <c r="BN109" s="48">
        <v>20680</v>
      </c>
      <c r="BO109" s="49">
        <v>3135</v>
      </c>
      <c r="BP109" s="49">
        <v>0</v>
      </c>
      <c r="BQ109" s="51">
        <v>0</v>
      </c>
      <c r="BR109" s="48">
        <v>143004</v>
      </c>
      <c r="BS109" s="49">
        <v>4548</v>
      </c>
      <c r="BT109" s="49">
        <v>0</v>
      </c>
      <c r="BU109" s="120">
        <v>0</v>
      </c>
      <c r="BV109" s="116">
        <v>523554</v>
      </c>
      <c r="BW109" s="49">
        <v>6792.33</v>
      </c>
      <c r="BX109" s="160">
        <v>97</v>
      </c>
      <c r="BY109" s="173">
        <v>309</v>
      </c>
      <c r="BZ109" s="116">
        <v>352715</v>
      </c>
      <c r="CA109" s="49">
        <v>10412.41</v>
      </c>
      <c r="CB109" s="49">
        <v>0</v>
      </c>
      <c r="CC109" s="50">
        <v>2617</v>
      </c>
      <c r="CD109" s="116">
        <v>232707</v>
      </c>
      <c r="CE109" s="49">
        <v>8797.27</v>
      </c>
      <c r="CF109" s="49">
        <v>31</v>
      </c>
      <c r="CG109" s="50">
        <v>8532</v>
      </c>
      <c r="CH109" s="116">
        <v>66979</v>
      </c>
      <c r="CI109" s="49">
        <v>6763.71</v>
      </c>
      <c r="CJ109" s="49">
        <v>18</v>
      </c>
      <c r="CK109" s="50">
        <v>3889</v>
      </c>
      <c r="CL109" s="116">
        <v>203064</v>
      </c>
      <c r="CM109" s="49">
        <v>5716.37</v>
      </c>
      <c r="CN109" s="49">
        <v>0</v>
      </c>
      <c r="CO109" s="50">
        <v>18508</v>
      </c>
    </row>
    <row r="110" spans="1:93" s="2" customFormat="1" ht="11.25">
      <c r="A110" s="14" t="s">
        <v>76</v>
      </c>
      <c r="B110" s="44">
        <v>287984</v>
      </c>
      <c r="C110" s="45"/>
      <c r="D110" s="45"/>
      <c r="E110" s="46"/>
      <c r="F110" s="44">
        <v>242838</v>
      </c>
      <c r="G110" s="45"/>
      <c r="H110" s="45"/>
      <c r="I110" s="46"/>
      <c r="J110" s="44">
        <v>291745</v>
      </c>
      <c r="K110" s="45"/>
      <c r="L110" s="45"/>
      <c r="M110" s="46"/>
      <c r="N110" s="44">
        <v>293065</v>
      </c>
      <c r="O110" s="45"/>
      <c r="P110" s="45"/>
      <c r="Q110" s="46"/>
      <c r="R110" s="44">
        <v>486231</v>
      </c>
      <c r="S110" s="45"/>
      <c r="T110" s="45"/>
      <c r="U110" s="46"/>
      <c r="V110" s="44">
        <v>299567</v>
      </c>
      <c r="W110" s="45"/>
      <c r="X110" s="45"/>
      <c r="Y110" s="46"/>
      <c r="Z110" s="44">
        <v>338156</v>
      </c>
      <c r="AA110" s="45"/>
      <c r="AB110" s="45"/>
      <c r="AC110" s="46"/>
      <c r="AD110" s="44">
        <v>233944</v>
      </c>
      <c r="AE110" s="45"/>
      <c r="AF110" s="45"/>
      <c r="AG110" s="46"/>
      <c r="AH110" s="44">
        <v>368498</v>
      </c>
      <c r="AI110" s="45"/>
      <c r="AJ110" s="45"/>
      <c r="AK110" s="46"/>
      <c r="AL110" s="44">
        <v>135510</v>
      </c>
      <c r="AM110" s="45"/>
      <c r="AN110" s="45"/>
      <c r="AO110" s="46"/>
      <c r="AP110" s="44">
        <v>101209</v>
      </c>
      <c r="AQ110" s="45"/>
      <c r="AR110" s="45"/>
      <c r="AS110" s="46"/>
      <c r="AT110" s="44">
        <v>98651</v>
      </c>
      <c r="AU110" s="45"/>
      <c r="AV110" s="45"/>
      <c r="AW110" s="46"/>
      <c r="AX110" s="44">
        <v>47112</v>
      </c>
      <c r="AY110" s="45"/>
      <c r="AZ110" s="45"/>
      <c r="BA110" s="46"/>
      <c r="BB110" s="44">
        <v>26914</v>
      </c>
      <c r="BC110" s="45"/>
      <c r="BD110" s="45"/>
      <c r="BE110" s="46"/>
      <c r="BF110" s="44">
        <v>17965</v>
      </c>
      <c r="BG110" s="45"/>
      <c r="BH110" s="45"/>
      <c r="BI110" s="46"/>
      <c r="BJ110" s="44">
        <v>18502</v>
      </c>
      <c r="BK110" s="45"/>
      <c r="BL110" s="45"/>
      <c r="BM110" s="47"/>
      <c r="BN110" s="44">
        <v>28687</v>
      </c>
      <c r="BO110" s="45">
        <v>0</v>
      </c>
      <c r="BP110" s="45">
        <v>0</v>
      </c>
      <c r="BQ110" s="47">
        <v>0</v>
      </c>
      <c r="BR110" s="44">
        <v>19220</v>
      </c>
      <c r="BS110" s="45">
        <v>0</v>
      </c>
      <c r="BT110" s="45">
        <v>0</v>
      </c>
      <c r="BU110" s="106">
        <v>0</v>
      </c>
      <c r="BV110" s="129">
        <v>23215</v>
      </c>
      <c r="BW110" s="45"/>
      <c r="BX110" s="45"/>
      <c r="BY110" s="46"/>
      <c r="BZ110" s="129">
        <v>22545</v>
      </c>
      <c r="CA110" s="45"/>
      <c r="CB110" s="45"/>
      <c r="CC110" s="46"/>
      <c r="CD110" s="129">
        <v>15634</v>
      </c>
      <c r="CE110" s="45"/>
      <c r="CF110" s="45"/>
      <c r="CG110" s="46"/>
      <c r="CH110" s="129">
        <v>6966</v>
      </c>
      <c r="CI110" s="45"/>
      <c r="CJ110" s="45"/>
      <c r="CK110" s="46"/>
      <c r="CL110" s="129">
        <v>9901</v>
      </c>
      <c r="CM110" s="45"/>
      <c r="CN110" s="45"/>
      <c r="CO110" s="46"/>
    </row>
    <row r="111" spans="1:93" s="2" customFormat="1" ht="12" thickBot="1">
      <c r="A111" s="23" t="s">
        <v>45</v>
      </c>
      <c r="B111" s="65">
        <v>243107</v>
      </c>
      <c r="C111" s="66"/>
      <c r="D111" s="66"/>
      <c r="E111" s="67"/>
      <c r="F111" s="65">
        <v>388965</v>
      </c>
      <c r="G111" s="66"/>
      <c r="H111" s="66"/>
      <c r="I111" s="67"/>
      <c r="J111" s="65">
        <v>381012</v>
      </c>
      <c r="K111" s="66"/>
      <c r="L111" s="66"/>
      <c r="M111" s="67"/>
      <c r="N111" s="65">
        <v>382143</v>
      </c>
      <c r="O111" s="66"/>
      <c r="P111" s="66"/>
      <c r="Q111" s="67"/>
      <c r="R111" s="65">
        <v>455381</v>
      </c>
      <c r="S111" s="66"/>
      <c r="T111" s="66"/>
      <c r="U111" s="67"/>
      <c r="V111" s="65">
        <v>413404</v>
      </c>
      <c r="W111" s="66"/>
      <c r="X111" s="66"/>
      <c r="Y111" s="67"/>
      <c r="Z111" s="123">
        <v>296102</v>
      </c>
      <c r="AA111" s="124"/>
      <c r="AB111" s="124"/>
      <c r="AC111" s="125"/>
      <c r="AD111" s="123">
        <v>272177</v>
      </c>
      <c r="AE111" s="124"/>
      <c r="AF111" s="124"/>
      <c r="AG111" s="125"/>
      <c r="AH111" s="123">
        <v>337944</v>
      </c>
      <c r="AI111" s="124"/>
      <c r="AJ111" s="124"/>
      <c r="AK111" s="125"/>
      <c r="AL111" s="123">
        <v>332525</v>
      </c>
      <c r="AM111" s="124"/>
      <c r="AN111" s="124"/>
      <c r="AO111" s="125"/>
      <c r="AP111" s="123">
        <v>281999</v>
      </c>
      <c r="AQ111" s="124"/>
      <c r="AR111" s="124"/>
      <c r="AS111" s="125"/>
      <c r="AT111" s="123">
        <v>397399</v>
      </c>
      <c r="AU111" s="124"/>
      <c r="AV111" s="124"/>
      <c r="AW111" s="125"/>
      <c r="AX111" s="123">
        <v>278632</v>
      </c>
      <c r="AY111" s="124"/>
      <c r="AZ111" s="124"/>
      <c r="BA111" s="125"/>
      <c r="BB111" s="123">
        <v>262798</v>
      </c>
      <c r="BC111" s="124"/>
      <c r="BD111" s="124"/>
      <c r="BE111" s="125"/>
      <c r="BF111" s="123">
        <v>244957</v>
      </c>
      <c r="BG111" s="124"/>
      <c r="BH111" s="124"/>
      <c r="BI111" s="125"/>
      <c r="BJ111" s="123">
        <v>249686</v>
      </c>
      <c r="BK111" s="124"/>
      <c r="BL111" s="124"/>
      <c r="BM111" s="131"/>
      <c r="BN111" s="123">
        <v>251710</v>
      </c>
      <c r="BO111" s="124">
        <v>0</v>
      </c>
      <c r="BP111" s="124">
        <v>0</v>
      </c>
      <c r="BQ111" s="131">
        <v>0</v>
      </c>
      <c r="BR111" s="123">
        <v>194983</v>
      </c>
      <c r="BS111" s="124">
        <v>0</v>
      </c>
      <c r="BT111" s="124">
        <v>0</v>
      </c>
      <c r="BU111" s="190">
        <v>0</v>
      </c>
      <c r="BV111" s="145">
        <v>172194</v>
      </c>
      <c r="BW111" s="62"/>
      <c r="BX111" s="62"/>
      <c r="BY111" s="63"/>
      <c r="BZ111" s="145">
        <v>166192</v>
      </c>
      <c r="CA111" s="62"/>
      <c r="CB111" s="62"/>
      <c r="CC111" s="63"/>
      <c r="CD111" s="145">
        <v>178829</v>
      </c>
      <c r="CE111" s="62"/>
      <c r="CF111" s="62"/>
      <c r="CG111" s="63"/>
      <c r="CH111" s="145">
        <v>174024</v>
      </c>
      <c r="CI111" s="62"/>
      <c r="CJ111" s="62"/>
      <c r="CK111" s="63"/>
      <c r="CL111" s="145">
        <v>156567</v>
      </c>
      <c r="CM111" s="62"/>
      <c r="CN111" s="62"/>
      <c r="CO111" s="63"/>
    </row>
    <row r="112" spans="1:93" s="2" customFormat="1" ht="12.75" thickBot="1" thickTop="1">
      <c r="A112" s="31" t="s">
        <v>75</v>
      </c>
      <c r="B112" s="110"/>
      <c r="C112" s="111"/>
      <c r="D112" s="111"/>
      <c r="E112" s="112"/>
      <c r="F112" s="110"/>
      <c r="G112" s="111"/>
      <c r="H112" s="111"/>
      <c r="I112" s="112"/>
      <c r="J112" s="110"/>
      <c r="K112" s="111"/>
      <c r="L112" s="111"/>
      <c r="M112" s="112"/>
      <c r="N112" s="110"/>
      <c r="O112" s="111"/>
      <c r="P112" s="111"/>
      <c r="Q112" s="112"/>
      <c r="R112" s="110"/>
      <c r="S112" s="111"/>
      <c r="T112" s="111"/>
      <c r="U112" s="112"/>
      <c r="V112" s="110"/>
      <c r="W112" s="111"/>
      <c r="X112" s="111"/>
      <c r="Y112" s="122"/>
      <c r="Z112" s="126"/>
      <c r="AA112" s="127"/>
      <c r="AB112" s="127"/>
      <c r="AC112" s="130"/>
      <c r="AD112" s="126"/>
      <c r="AE112" s="127"/>
      <c r="AF112" s="127"/>
      <c r="AG112" s="130"/>
      <c r="AH112" s="126"/>
      <c r="AI112" s="127"/>
      <c r="AJ112" s="127"/>
      <c r="AK112" s="130"/>
      <c r="AL112" s="126"/>
      <c r="AM112" s="127"/>
      <c r="AN112" s="127"/>
      <c r="AO112" s="130"/>
      <c r="AP112" s="126"/>
      <c r="AQ112" s="127"/>
      <c r="AR112" s="127"/>
      <c r="AS112" s="130"/>
      <c r="AT112" s="126"/>
      <c r="AU112" s="127"/>
      <c r="AV112" s="127"/>
      <c r="AW112" s="130"/>
      <c r="AX112" s="126"/>
      <c r="AY112" s="127"/>
      <c r="AZ112" s="127"/>
      <c r="BA112" s="130"/>
      <c r="BB112" s="126"/>
      <c r="BC112" s="127"/>
      <c r="BD112" s="127"/>
      <c r="BE112" s="130"/>
      <c r="BF112" s="126"/>
      <c r="BG112" s="127"/>
      <c r="BH112" s="127"/>
      <c r="BI112" s="130"/>
      <c r="BJ112" s="126"/>
      <c r="BK112" s="127"/>
      <c r="BL112" s="127"/>
      <c r="BM112" s="130"/>
      <c r="BN112" s="126"/>
      <c r="BO112" s="127"/>
      <c r="BP112" s="127"/>
      <c r="BQ112" s="128"/>
      <c r="BR112" s="126"/>
      <c r="BS112" s="127"/>
      <c r="BT112" s="127"/>
      <c r="BU112" s="128"/>
      <c r="BV112" s="126"/>
      <c r="BW112" s="127"/>
      <c r="BX112" s="127"/>
      <c r="BY112" s="128"/>
      <c r="BZ112" s="126"/>
      <c r="CA112" s="127"/>
      <c r="CB112" s="127"/>
      <c r="CC112" s="128"/>
      <c r="CD112" s="191"/>
      <c r="CE112" s="192"/>
      <c r="CF112" s="192"/>
      <c r="CG112" s="193"/>
      <c r="CH112" s="191"/>
      <c r="CI112" s="192"/>
      <c r="CJ112" s="192"/>
      <c r="CK112" s="193"/>
      <c r="CL112" s="191"/>
      <c r="CM112" s="192"/>
      <c r="CN112" s="192"/>
      <c r="CO112" s="193"/>
    </row>
    <row r="113" spans="1:93" s="2" customFormat="1" ht="11.25">
      <c r="A113" s="107" t="s">
        <v>133</v>
      </c>
      <c r="B113" s="152">
        <v>663234</v>
      </c>
      <c r="C113" s="114">
        <v>562908</v>
      </c>
      <c r="D113" s="114">
        <v>56117</v>
      </c>
      <c r="E113" s="105">
        <v>418696</v>
      </c>
      <c r="F113" s="152">
        <v>546767</v>
      </c>
      <c r="G113" s="114">
        <v>646505</v>
      </c>
      <c r="H113" s="114">
        <v>96739</v>
      </c>
      <c r="I113" s="105">
        <v>946524</v>
      </c>
      <c r="J113" s="152">
        <v>760642</v>
      </c>
      <c r="K113" s="114">
        <v>635219</v>
      </c>
      <c r="L113" s="114">
        <v>937200</v>
      </c>
      <c r="M113" s="105">
        <v>534800</v>
      </c>
      <c r="N113" s="152">
        <v>779602</v>
      </c>
      <c r="O113" s="114">
        <v>478022</v>
      </c>
      <c r="P113" s="114">
        <v>451991</v>
      </c>
      <c r="Q113" s="105">
        <v>702712</v>
      </c>
      <c r="R113" s="152">
        <v>930784</v>
      </c>
      <c r="S113" s="114">
        <v>379567</v>
      </c>
      <c r="T113" s="114">
        <v>157603</v>
      </c>
      <c r="U113" s="105">
        <v>388761</v>
      </c>
      <c r="V113" s="152">
        <v>892466</v>
      </c>
      <c r="W113" s="114">
        <v>286235</v>
      </c>
      <c r="X113" s="114">
        <v>64627</v>
      </c>
      <c r="Y113" s="105">
        <v>788693</v>
      </c>
      <c r="Z113" s="129">
        <v>799839</v>
      </c>
      <c r="AA113" s="45">
        <v>215873</v>
      </c>
      <c r="AB113" s="45">
        <v>222748</v>
      </c>
      <c r="AC113" s="106">
        <v>504065</v>
      </c>
      <c r="AD113" s="129">
        <v>715293</v>
      </c>
      <c r="AE113" s="45">
        <v>143024</v>
      </c>
      <c r="AF113" s="45">
        <v>263955</v>
      </c>
      <c r="AG113" s="106">
        <v>295598</v>
      </c>
      <c r="AH113" s="129">
        <v>772998</v>
      </c>
      <c r="AI113" s="45">
        <v>132439</v>
      </c>
      <c r="AJ113" s="45">
        <v>198148</v>
      </c>
      <c r="AK113" s="106">
        <v>425183</v>
      </c>
      <c r="AL113" s="129">
        <v>581681</v>
      </c>
      <c r="AM113" s="45">
        <v>127623</v>
      </c>
      <c r="AN113" s="45">
        <v>381147</v>
      </c>
      <c r="AO113" s="106">
        <v>241393</v>
      </c>
      <c r="AP113" s="129">
        <v>694919</v>
      </c>
      <c r="AQ113" s="45">
        <v>146541</v>
      </c>
      <c r="AR113" s="45">
        <v>260589</v>
      </c>
      <c r="AS113" s="106">
        <v>400593</v>
      </c>
      <c r="AT113" s="129">
        <v>822115</v>
      </c>
      <c r="AU113" s="45">
        <v>147739</v>
      </c>
      <c r="AV113" s="45">
        <v>173336</v>
      </c>
      <c r="AW113" s="106">
        <v>359542</v>
      </c>
      <c r="AX113" s="129">
        <v>734356</v>
      </c>
      <c r="AY113" s="45">
        <v>142502</v>
      </c>
      <c r="AZ113" s="45">
        <v>113977</v>
      </c>
      <c r="BA113" s="106">
        <v>278546</v>
      </c>
      <c r="BB113" s="129">
        <v>769422</v>
      </c>
      <c r="BC113" s="45">
        <v>195566</v>
      </c>
      <c r="BD113" s="45">
        <v>85350</v>
      </c>
      <c r="BE113" s="106">
        <v>262455</v>
      </c>
      <c r="BF113" s="129">
        <v>553181</v>
      </c>
      <c r="BG113" s="45">
        <v>144587</v>
      </c>
      <c r="BH113" s="45">
        <v>28310</v>
      </c>
      <c r="BI113" s="106">
        <v>295638</v>
      </c>
      <c r="BJ113" s="129">
        <v>629039</v>
      </c>
      <c r="BK113" s="45">
        <v>172022</v>
      </c>
      <c r="BL113" s="45">
        <v>81155</v>
      </c>
      <c r="BM113" s="106">
        <v>497605</v>
      </c>
      <c r="BN113" s="129">
        <v>510405</v>
      </c>
      <c r="BO113" s="45">
        <v>123273</v>
      </c>
      <c r="BP113" s="45">
        <v>71587</v>
      </c>
      <c r="BQ113" s="46">
        <v>259456</v>
      </c>
      <c r="BR113" s="129">
        <v>621910</v>
      </c>
      <c r="BS113" s="45">
        <v>134109</v>
      </c>
      <c r="BT113" s="45">
        <v>104170</v>
      </c>
      <c r="BU113" s="46">
        <v>320317</v>
      </c>
      <c r="BV113" s="129">
        <v>762073</v>
      </c>
      <c r="BW113" s="45">
        <v>237586.03</v>
      </c>
      <c r="BX113" s="159">
        <v>128888</v>
      </c>
      <c r="BY113" s="46">
        <v>801121</v>
      </c>
      <c r="BZ113" s="129">
        <v>468487</v>
      </c>
      <c r="CA113" s="45">
        <v>179657</v>
      </c>
      <c r="CB113" s="159">
        <v>100446</v>
      </c>
      <c r="CC113" s="46">
        <v>629322</v>
      </c>
      <c r="CD113" s="129">
        <v>559928</v>
      </c>
      <c r="CE113" s="114">
        <v>174063.62</v>
      </c>
      <c r="CF113" s="177">
        <v>92979</v>
      </c>
      <c r="CG113" s="194">
        <v>643619</v>
      </c>
      <c r="CH113" s="129">
        <v>379512</v>
      </c>
      <c r="CI113" s="45">
        <v>162067.46</v>
      </c>
      <c r="CJ113" s="177">
        <v>86546</v>
      </c>
      <c r="CK113" s="194">
        <v>582545</v>
      </c>
      <c r="CL113" s="129">
        <v>405088</v>
      </c>
      <c r="CM113" s="45">
        <v>99309.04</v>
      </c>
      <c r="CN113" s="45">
        <v>49096</v>
      </c>
      <c r="CO113" s="46">
        <v>406550</v>
      </c>
    </row>
    <row r="114" spans="1:93" s="52" customFormat="1" ht="11.25">
      <c r="A114" s="108" t="s">
        <v>49</v>
      </c>
      <c r="B114" s="116"/>
      <c r="C114" s="49">
        <f>598.37*2.2046</f>
        <v>1319.166502</v>
      </c>
      <c r="D114" s="49">
        <v>0</v>
      </c>
      <c r="E114" s="120">
        <v>2707</v>
      </c>
      <c r="F114" s="116"/>
      <c r="G114" s="49">
        <f>21.02*2.2046</f>
        <v>46.340692000000004</v>
      </c>
      <c r="H114" s="49">
        <v>1834</v>
      </c>
      <c r="I114" s="120">
        <v>24641</v>
      </c>
      <c r="J114" s="116"/>
      <c r="K114" s="49"/>
      <c r="L114" s="49">
        <v>373</v>
      </c>
      <c r="M114" s="120">
        <v>3128</v>
      </c>
      <c r="N114" s="116"/>
      <c r="O114" s="49"/>
      <c r="P114" s="49">
        <v>0</v>
      </c>
      <c r="Q114" s="120">
        <v>14744</v>
      </c>
      <c r="R114" s="116"/>
      <c r="S114" s="49"/>
      <c r="T114" s="49">
        <v>0</v>
      </c>
      <c r="U114" s="120">
        <v>8254</v>
      </c>
      <c r="V114" s="116"/>
      <c r="W114" s="49">
        <f>0.45*2.2046</f>
        <v>0.9920700000000001</v>
      </c>
      <c r="X114" s="49">
        <v>328</v>
      </c>
      <c r="Y114" s="120">
        <v>9068</v>
      </c>
      <c r="Z114" s="116">
        <v>1917</v>
      </c>
      <c r="AA114" s="49">
        <v>0</v>
      </c>
      <c r="AB114" s="49">
        <v>0</v>
      </c>
      <c r="AC114" s="120">
        <v>1378</v>
      </c>
      <c r="AD114" s="116">
        <v>23</v>
      </c>
      <c r="AE114" s="49">
        <v>0</v>
      </c>
      <c r="AF114" s="49">
        <v>0</v>
      </c>
      <c r="AG114" s="120">
        <v>19755</v>
      </c>
      <c r="AH114" s="116">
        <v>281</v>
      </c>
      <c r="AI114" s="49">
        <v>0</v>
      </c>
      <c r="AJ114" s="49">
        <v>0</v>
      </c>
      <c r="AK114" s="120">
        <v>8099</v>
      </c>
      <c r="AL114" s="116">
        <v>298</v>
      </c>
      <c r="AM114" s="49"/>
      <c r="AN114" s="49">
        <v>1371</v>
      </c>
      <c r="AO114" s="120">
        <v>1525</v>
      </c>
      <c r="AP114" s="116">
        <v>26</v>
      </c>
      <c r="AQ114" s="49"/>
      <c r="AR114" s="49">
        <v>0</v>
      </c>
      <c r="AS114" s="120">
        <v>146</v>
      </c>
      <c r="AT114" s="116">
        <v>81</v>
      </c>
      <c r="AU114" s="49"/>
      <c r="AV114" s="49">
        <v>0</v>
      </c>
      <c r="AW114" s="120">
        <v>1986</v>
      </c>
      <c r="AX114" s="116">
        <v>38</v>
      </c>
      <c r="AY114" s="49">
        <f>0.26*2.2046</f>
        <v>0.573196</v>
      </c>
      <c r="AZ114" s="49">
        <v>0</v>
      </c>
      <c r="BA114" s="120">
        <v>1020</v>
      </c>
      <c r="BB114" s="116">
        <v>301</v>
      </c>
      <c r="BC114" s="49"/>
      <c r="BD114" s="49">
        <v>1230</v>
      </c>
      <c r="BE114" s="120">
        <v>474</v>
      </c>
      <c r="BF114" s="116">
        <v>4</v>
      </c>
      <c r="BG114" s="49"/>
      <c r="BH114" s="49">
        <v>51</v>
      </c>
      <c r="BI114" s="120">
        <v>0</v>
      </c>
      <c r="BJ114" s="116"/>
      <c r="BK114" s="49">
        <f>0.29*2.2046</f>
        <v>0.639334</v>
      </c>
      <c r="BL114" s="49">
        <v>0</v>
      </c>
      <c r="BM114" s="120">
        <v>1005</v>
      </c>
      <c r="BN114" s="116">
        <v>20</v>
      </c>
      <c r="BO114" s="49"/>
      <c r="BP114" s="49"/>
      <c r="BQ114" s="50">
        <v>1100</v>
      </c>
      <c r="BR114" s="116">
        <v>10</v>
      </c>
      <c r="BS114" s="49">
        <v>6</v>
      </c>
      <c r="BT114" s="49">
        <v>99</v>
      </c>
      <c r="BU114" s="50">
        <v>1932</v>
      </c>
      <c r="BV114" s="116">
        <v>104</v>
      </c>
      <c r="BW114" s="49">
        <v>2.2</v>
      </c>
      <c r="BX114" s="49">
        <v>0</v>
      </c>
      <c r="BY114" s="159">
        <v>1080</v>
      </c>
      <c r="BZ114" s="116">
        <v>166</v>
      </c>
      <c r="CA114" s="49">
        <v>0.99</v>
      </c>
      <c r="CB114" s="49">
        <v>0</v>
      </c>
      <c r="CC114" s="50">
        <v>360</v>
      </c>
      <c r="CD114" s="116">
        <v>583</v>
      </c>
      <c r="CE114" s="49">
        <v>0</v>
      </c>
      <c r="CF114" s="49">
        <v>18</v>
      </c>
      <c r="CG114" s="50">
        <v>922</v>
      </c>
      <c r="CH114" s="116">
        <v>1413</v>
      </c>
      <c r="CI114" s="49">
        <v>0</v>
      </c>
      <c r="CJ114" s="49">
        <v>0</v>
      </c>
      <c r="CK114" s="50">
        <v>1631</v>
      </c>
      <c r="CL114" s="116">
        <v>272</v>
      </c>
      <c r="CM114" s="49">
        <v>0</v>
      </c>
      <c r="CN114" s="49">
        <v>0</v>
      </c>
      <c r="CO114" s="50">
        <v>4447</v>
      </c>
    </row>
    <row r="115" spans="1:93" s="52" customFormat="1" ht="12" thickBot="1">
      <c r="A115" s="109" t="s">
        <v>50</v>
      </c>
      <c r="B115" s="117">
        <v>600</v>
      </c>
      <c r="C115" s="118">
        <f>3183.48*2.2046</f>
        <v>7018.300008</v>
      </c>
      <c r="D115" s="118">
        <v>0</v>
      </c>
      <c r="E115" s="121">
        <v>0</v>
      </c>
      <c r="F115" s="117">
        <v>47</v>
      </c>
      <c r="G115" s="118">
        <f>7997.7*2.2046</f>
        <v>17631.72942</v>
      </c>
      <c r="H115" s="118">
        <v>0</v>
      </c>
      <c r="I115" s="121">
        <v>51</v>
      </c>
      <c r="J115" s="117"/>
      <c r="K115" s="118">
        <f>14110.44*2.2046</f>
        <v>31107.876024</v>
      </c>
      <c r="L115" s="118">
        <v>35</v>
      </c>
      <c r="M115" s="121">
        <v>401</v>
      </c>
      <c r="N115" s="117">
        <v>36</v>
      </c>
      <c r="O115" s="118">
        <f>8682.5*2.2046</f>
        <v>19141.4395</v>
      </c>
      <c r="P115" s="118">
        <v>4048</v>
      </c>
      <c r="Q115" s="121">
        <v>2952</v>
      </c>
      <c r="R115" s="117"/>
      <c r="S115" s="118">
        <f>9829.3*2.2046</f>
        <v>21669.67478</v>
      </c>
      <c r="T115" s="118">
        <v>0</v>
      </c>
      <c r="U115" s="121">
        <v>0</v>
      </c>
      <c r="V115" s="117">
        <v>232</v>
      </c>
      <c r="W115" s="118">
        <f>9259.81*2.2046</f>
        <v>20414.177126</v>
      </c>
      <c r="X115" s="118">
        <v>90</v>
      </c>
      <c r="Y115" s="121">
        <v>104</v>
      </c>
      <c r="Z115" s="117">
        <v>648</v>
      </c>
      <c r="AA115" s="118">
        <f>5254.72*2.2046</f>
        <v>11584.555712000001</v>
      </c>
      <c r="AB115" s="118">
        <v>1221</v>
      </c>
      <c r="AC115" s="121">
        <v>869</v>
      </c>
      <c r="AD115" s="117">
        <v>876</v>
      </c>
      <c r="AE115" s="118">
        <f>5149.54*2.2046</f>
        <v>11352.675884</v>
      </c>
      <c r="AF115" s="118">
        <v>0</v>
      </c>
      <c r="AG115" s="121">
        <v>196</v>
      </c>
      <c r="AH115" s="117">
        <v>2851</v>
      </c>
      <c r="AI115" s="118">
        <f>5838.89*2.2046</f>
        <v>12872.416894000002</v>
      </c>
      <c r="AJ115" s="118">
        <v>0</v>
      </c>
      <c r="AK115" s="121">
        <v>0</v>
      </c>
      <c r="AL115" s="117">
        <v>2680</v>
      </c>
      <c r="AM115" s="118">
        <f>5414.4*2.2046</f>
        <v>11936.58624</v>
      </c>
      <c r="AN115" s="118">
        <v>24983</v>
      </c>
      <c r="AO115" s="121">
        <v>454</v>
      </c>
      <c r="AP115" s="117">
        <v>500</v>
      </c>
      <c r="AQ115" s="118">
        <f>4901.43*2.2046</f>
        <v>10805.692578000002</v>
      </c>
      <c r="AR115" s="118">
        <v>2932</v>
      </c>
      <c r="AS115" s="121">
        <v>146</v>
      </c>
      <c r="AT115" s="117">
        <v>1692</v>
      </c>
      <c r="AU115" s="118">
        <f>3781.07*2.2046</f>
        <v>8335.746922</v>
      </c>
      <c r="AV115" s="118">
        <v>8750</v>
      </c>
      <c r="AW115" s="121">
        <v>0</v>
      </c>
      <c r="AX115" s="117">
        <v>475</v>
      </c>
      <c r="AY115" s="118">
        <f>3095.11*2.2046</f>
        <v>6823.479506000001</v>
      </c>
      <c r="AZ115" s="118">
        <v>128</v>
      </c>
      <c r="BA115" s="121">
        <v>1111</v>
      </c>
      <c r="BB115" s="117">
        <v>177</v>
      </c>
      <c r="BC115" s="118">
        <f>2400.64*2.2046</f>
        <v>5292.450944</v>
      </c>
      <c r="BD115" s="118">
        <v>395</v>
      </c>
      <c r="BE115" s="121">
        <v>143</v>
      </c>
      <c r="BF115" s="117">
        <v>10</v>
      </c>
      <c r="BG115" s="118">
        <v>5942</v>
      </c>
      <c r="BH115" s="118">
        <v>0</v>
      </c>
      <c r="BI115" s="121">
        <v>0</v>
      </c>
      <c r="BJ115" s="117">
        <v>13</v>
      </c>
      <c r="BK115" s="118">
        <f>2199.41*2.2046</f>
        <v>4848.819286</v>
      </c>
      <c r="BL115" s="118">
        <v>33</v>
      </c>
      <c r="BM115" s="121">
        <v>29</v>
      </c>
      <c r="BN115" s="117">
        <v>42</v>
      </c>
      <c r="BO115" s="118">
        <v>2874</v>
      </c>
      <c r="BP115" s="118"/>
      <c r="BQ115" s="119">
        <v>1054</v>
      </c>
      <c r="BR115" s="117">
        <v>42</v>
      </c>
      <c r="BS115" s="118">
        <v>5037</v>
      </c>
      <c r="BT115" s="118">
        <v>240</v>
      </c>
      <c r="BU115" s="119">
        <v>203</v>
      </c>
      <c r="BV115" s="117">
        <v>705</v>
      </c>
      <c r="BW115" s="118">
        <v>6159.61</v>
      </c>
      <c r="BX115" s="118">
        <v>256</v>
      </c>
      <c r="BY115" s="119">
        <v>0</v>
      </c>
      <c r="BZ115" s="117">
        <v>492</v>
      </c>
      <c r="CA115" s="118">
        <v>6043.48</v>
      </c>
      <c r="CB115" s="118"/>
      <c r="CC115" s="119">
        <v>2206</v>
      </c>
      <c r="CD115" s="117">
        <v>901</v>
      </c>
      <c r="CE115" s="118">
        <v>6214.86</v>
      </c>
      <c r="CF115" s="187">
        <v>227</v>
      </c>
      <c r="CG115" s="188">
        <v>4853</v>
      </c>
      <c r="CH115" s="117">
        <v>126</v>
      </c>
      <c r="CI115" s="118">
        <v>2197.1</v>
      </c>
      <c r="CJ115" s="187">
        <v>192</v>
      </c>
      <c r="CK115" s="188">
        <v>3627</v>
      </c>
      <c r="CL115" s="117">
        <v>195</v>
      </c>
      <c r="CM115" s="118">
        <v>2532.18</v>
      </c>
      <c r="CN115" s="187">
        <v>64</v>
      </c>
      <c r="CO115" s="188">
        <v>2581</v>
      </c>
    </row>
    <row r="116" spans="1:93" ht="12" thickTop="1">
      <c r="A116" s="32" t="s">
        <v>44</v>
      </c>
      <c r="B116" s="81"/>
      <c r="C116" s="82"/>
      <c r="D116" s="82"/>
      <c r="E116" s="83"/>
      <c r="F116" s="81"/>
      <c r="G116" s="82"/>
      <c r="H116" s="82"/>
      <c r="I116" s="83"/>
      <c r="J116" s="81"/>
      <c r="K116" s="82"/>
      <c r="L116" s="82"/>
      <c r="M116" s="83"/>
      <c r="N116" s="81"/>
      <c r="O116" s="82"/>
      <c r="P116" s="82"/>
      <c r="Q116" s="83"/>
      <c r="R116" s="81"/>
      <c r="S116" s="82"/>
      <c r="T116" s="82"/>
      <c r="U116" s="83"/>
      <c r="V116" s="81"/>
      <c r="W116" s="82"/>
      <c r="X116" s="82"/>
      <c r="Y116" s="83"/>
      <c r="Z116" s="81"/>
      <c r="AA116" s="82"/>
      <c r="AB116" s="82"/>
      <c r="AC116" s="83"/>
      <c r="AD116" s="81"/>
      <c r="AE116" s="82"/>
      <c r="AF116" s="82"/>
      <c r="AG116" s="83"/>
      <c r="AH116" s="81"/>
      <c r="AI116" s="82"/>
      <c r="AJ116" s="82"/>
      <c r="AK116" s="83"/>
      <c r="AL116" s="81"/>
      <c r="AM116" s="82"/>
      <c r="AN116" s="82"/>
      <c r="AO116" s="83"/>
      <c r="AP116" s="81"/>
      <c r="AQ116" s="82"/>
      <c r="AR116" s="82"/>
      <c r="AS116" s="83"/>
      <c r="AT116" s="81"/>
      <c r="AU116" s="82"/>
      <c r="AV116" s="82"/>
      <c r="AW116" s="83"/>
      <c r="AX116" s="81"/>
      <c r="AY116" s="82"/>
      <c r="AZ116" s="82"/>
      <c r="BA116" s="83"/>
      <c r="BB116" s="81"/>
      <c r="BC116" s="82"/>
      <c r="BD116" s="82"/>
      <c r="BE116" s="83"/>
      <c r="BF116" s="81"/>
      <c r="BG116" s="82"/>
      <c r="BH116" s="82"/>
      <c r="BI116" s="83"/>
      <c r="BJ116" s="81"/>
      <c r="BK116" s="82"/>
      <c r="BL116" s="82"/>
      <c r="BM116" s="84"/>
      <c r="BN116" s="81"/>
      <c r="BO116" s="82"/>
      <c r="BP116" s="82"/>
      <c r="BQ116" s="84"/>
      <c r="BR116" s="81"/>
      <c r="BS116" s="82"/>
      <c r="BT116" s="82"/>
      <c r="BU116" s="84"/>
      <c r="BV116" s="81"/>
      <c r="BW116" s="82"/>
      <c r="BX116" s="82"/>
      <c r="BY116" s="84"/>
      <c r="BZ116" s="81"/>
      <c r="CA116" s="82"/>
      <c r="CB116" s="82"/>
      <c r="CC116" s="84"/>
      <c r="CD116" s="81"/>
      <c r="CE116" s="82"/>
      <c r="CF116" s="82"/>
      <c r="CG116" s="84"/>
      <c r="CH116" s="81"/>
      <c r="CI116" s="82"/>
      <c r="CJ116" s="82"/>
      <c r="CK116" s="84"/>
      <c r="CL116" s="81"/>
      <c r="CM116" s="82"/>
      <c r="CN116" s="82"/>
      <c r="CO116" s="84"/>
    </row>
    <row r="117" spans="1:93" ht="12" thickBot="1">
      <c r="A117" s="33" t="s">
        <v>44</v>
      </c>
      <c r="B117" s="85"/>
      <c r="C117" s="86"/>
      <c r="D117" s="86"/>
      <c r="E117" s="87"/>
      <c r="F117" s="85"/>
      <c r="G117" s="86"/>
      <c r="H117" s="86"/>
      <c r="I117" s="87"/>
      <c r="J117" s="85"/>
      <c r="K117" s="86"/>
      <c r="L117" s="86"/>
      <c r="M117" s="87"/>
      <c r="N117" s="85"/>
      <c r="O117" s="86"/>
      <c r="P117" s="86"/>
      <c r="Q117" s="87"/>
      <c r="R117" s="85"/>
      <c r="S117" s="86"/>
      <c r="T117" s="86"/>
      <c r="U117" s="87"/>
      <c r="V117" s="85"/>
      <c r="W117" s="86"/>
      <c r="X117" s="86"/>
      <c r="Y117" s="87"/>
      <c r="Z117" s="85"/>
      <c r="AA117" s="86"/>
      <c r="AB117" s="86"/>
      <c r="AC117" s="87"/>
      <c r="AD117" s="85"/>
      <c r="AE117" s="86"/>
      <c r="AF117" s="86"/>
      <c r="AG117" s="87"/>
      <c r="AH117" s="85"/>
      <c r="AI117" s="86"/>
      <c r="AJ117" s="86"/>
      <c r="AK117" s="87"/>
      <c r="AL117" s="85"/>
      <c r="AM117" s="86"/>
      <c r="AN117" s="86"/>
      <c r="AO117" s="87"/>
      <c r="AP117" s="85"/>
      <c r="AQ117" s="86"/>
      <c r="AR117" s="86"/>
      <c r="AS117" s="87"/>
      <c r="AT117" s="85"/>
      <c r="AU117" s="86"/>
      <c r="AV117" s="86"/>
      <c r="AW117" s="87"/>
      <c r="AX117" s="85"/>
      <c r="AY117" s="86"/>
      <c r="AZ117" s="86"/>
      <c r="BA117" s="87"/>
      <c r="BB117" s="85"/>
      <c r="BC117" s="86"/>
      <c r="BD117" s="86"/>
      <c r="BE117" s="87"/>
      <c r="BF117" s="85"/>
      <c r="BG117" s="86"/>
      <c r="BH117" s="86"/>
      <c r="BI117" s="87"/>
      <c r="BJ117" s="85"/>
      <c r="BK117" s="86"/>
      <c r="BL117" s="86"/>
      <c r="BM117" s="88"/>
      <c r="BN117" s="85"/>
      <c r="BO117" s="86"/>
      <c r="BP117" s="86"/>
      <c r="BQ117" s="88"/>
      <c r="BR117" s="85"/>
      <c r="BS117" s="86"/>
      <c r="BT117" s="86"/>
      <c r="BU117" s="88"/>
      <c r="BV117" s="85"/>
      <c r="BW117" s="86"/>
      <c r="BX117" s="86"/>
      <c r="BY117" s="88"/>
      <c r="BZ117" s="85"/>
      <c r="CA117" s="86"/>
      <c r="CB117" s="86"/>
      <c r="CC117" s="88"/>
      <c r="CD117" s="85"/>
      <c r="CE117" s="86"/>
      <c r="CF117" s="86"/>
      <c r="CG117" s="88"/>
      <c r="CH117" s="85"/>
      <c r="CI117" s="86"/>
      <c r="CJ117" s="86"/>
      <c r="CK117" s="88"/>
      <c r="CL117" s="85"/>
      <c r="CM117" s="86"/>
      <c r="CN117" s="86"/>
      <c r="CO117" s="88"/>
    </row>
    <row r="118" spans="1:93" s="92" customFormat="1" ht="23.25" thickTop="1">
      <c r="A118" s="89" t="s">
        <v>132</v>
      </c>
      <c r="B118" s="90"/>
      <c r="C118" s="91"/>
      <c r="D118" s="91"/>
      <c r="E118" s="91"/>
      <c r="F118" s="90"/>
      <c r="G118" s="91"/>
      <c r="H118" s="91"/>
      <c r="I118" s="91"/>
      <c r="J118" s="90"/>
      <c r="K118" s="91"/>
      <c r="L118" s="91"/>
      <c r="M118" s="91"/>
      <c r="N118" s="90"/>
      <c r="O118" s="91"/>
      <c r="P118" s="91"/>
      <c r="Q118" s="91"/>
      <c r="R118" s="90"/>
      <c r="S118" s="91"/>
      <c r="T118" s="91"/>
      <c r="U118" s="91"/>
      <c r="V118" s="90"/>
      <c r="W118" s="91"/>
      <c r="X118" s="91"/>
      <c r="Y118" s="91"/>
      <c r="Z118" s="90"/>
      <c r="AA118" s="91"/>
      <c r="AB118" s="91"/>
      <c r="AC118" s="91"/>
      <c r="AD118" s="90"/>
      <c r="AE118" s="91"/>
      <c r="AF118" s="91"/>
      <c r="AG118" s="91"/>
      <c r="AH118" s="90"/>
      <c r="AI118" s="91"/>
      <c r="AJ118" s="91"/>
      <c r="AK118" s="91"/>
      <c r="AL118" s="90"/>
      <c r="AM118" s="91"/>
      <c r="AN118" s="91"/>
      <c r="AO118" s="91"/>
      <c r="AP118" s="90"/>
      <c r="AQ118" s="91"/>
      <c r="AR118" s="91"/>
      <c r="AS118" s="91"/>
      <c r="AT118" s="90"/>
      <c r="AU118" s="91"/>
      <c r="AV118" s="91"/>
      <c r="AW118" s="91"/>
      <c r="AX118" s="90"/>
      <c r="AY118" s="91"/>
      <c r="AZ118" s="91"/>
      <c r="BA118" s="91"/>
      <c r="BB118" s="90"/>
      <c r="BC118" s="91"/>
      <c r="BD118" s="91"/>
      <c r="BE118" s="91"/>
      <c r="BF118" s="90"/>
      <c r="BG118" s="91"/>
      <c r="BH118" s="91"/>
      <c r="BI118" s="91"/>
      <c r="BJ118" s="90"/>
      <c r="BK118" s="91"/>
      <c r="BL118" s="91"/>
      <c r="BM118" s="91"/>
      <c r="BX118" s="157"/>
      <c r="BY118" s="157"/>
      <c r="BZ118" s="155"/>
      <c r="CA118" s="157"/>
      <c r="CB118" s="157"/>
      <c r="CC118" s="157"/>
      <c r="CD118" s="157"/>
      <c r="CE118" s="157"/>
      <c r="CF118" s="157"/>
      <c r="CG118" s="157"/>
      <c r="CH118" s="157"/>
      <c r="CI118" s="157"/>
      <c r="CJ118" s="157"/>
      <c r="CK118" s="157"/>
      <c r="CL118" s="157"/>
      <c r="CM118" s="157"/>
      <c r="CN118" s="157"/>
      <c r="CO118" s="157"/>
    </row>
    <row r="119" ht="31.5" customHeight="1">
      <c r="A119" s="226" t="s">
        <v>137</v>
      </c>
    </row>
    <row r="120" spans="60:65" ht="11.25">
      <c r="BH120" s="2"/>
      <c r="BL120" s="2"/>
      <c r="BM120" s="2"/>
    </row>
  </sheetData>
  <sheetProtection/>
  <mergeCells count="24">
    <mergeCell ref="AD2:AG2"/>
    <mergeCell ref="CD2:CG2"/>
    <mergeCell ref="BZ2:CC2"/>
    <mergeCell ref="BV2:BY2"/>
    <mergeCell ref="BR2:BU2"/>
    <mergeCell ref="AX2:BA2"/>
    <mergeCell ref="BN2:BQ2"/>
    <mergeCell ref="Z2:AC2"/>
    <mergeCell ref="J2:M2"/>
    <mergeCell ref="N2:Q2"/>
    <mergeCell ref="B2:E2"/>
    <mergeCell ref="F2:I2"/>
    <mergeCell ref="A1:W1"/>
    <mergeCell ref="R2:U2"/>
    <mergeCell ref="V2:Y2"/>
    <mergeCell ref="CL2:CO2"/>
    <mergeCell ref="CH2:CK2"/>
    <mergeCell ref="BB2:BE2"/>
    <mergeCell ref="BF2:BI2"/>
    <mergeCell ref="BJ2:BM2"/>
    <mergeCell ref="AH2:AK2"/>
    <mergeCell ref="AL2:AO2"/>
    <mergeCell ref="AP2:AS2"/>
    <mergeCell ref="AT2:AW2"/>
  </mergeCells>
  <printOptions/>
  <pageMargins left="0.5" right="0.5" top="0.75" bottom="0.5" header="0.25" footer="0.25"/>
  <pageSetup horizontalDpi="600" verticalDpi="600" orientation="portrait" pageOrder="overThenDown" paperSize="5" r:id="rId1"/>
  <headerFooter alignWithMargins="0">
    <oddFooter>&amp;C&amp;P
&amp;D</oddFoot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Marine Fisheries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Commerce</dc:creator>
  <cp:keywords/>
  <dc:description/>
  <cp:lastModifiedBy>gregg.waugh</cp:lastModifiedBy>
  <cp:lastPrinted>2009-05-14T14:06:55Z</cp:lastPrinted>
  <dcterms:created xsi:type="dcterms:W3CDTF">2003-04-28T17:28:50Z</dcterms:created>
  <dcterms:modified xsi:type="dcterms:W3CDTF">2009-05-16T14:44:37Z</dcterms:modified>
  <cp:category/>
  <cp:version/>
  <cp:contentType/>
  <cp:contentStatus/>
</cp:coreProperties>
</file>